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17.xml" ContentType="application/vnd.openxmlformats-officedocument.drawingml.chart+xml"/>
  <Override PartName="/xl/drawings/drawing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comments5.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comments7.xml" ContentType="application/vnd.openxmlformats-officedocument.spreadsheetml.comment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3.xml" ContentType="application/vnd.openxmlformats-officedocument.spreadsheetml.comments+xml"/>
  <Override PartName="/xl/charts/chart6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1A4" lockStructure="1"/>
  <bookViews>
    <workbookView xWindow="0" yWindow="690" windowWidth="12288" windowHeight="5250" tabRatio="874" activeTab="4"/>
  </bookViews>
  <sheets>
    <sheet name="Front Page" sheetId="18" r:id="rId1"/>
    <sheet name="Designs" sheetId="1" r:id="rId2"/>
    <sheet name="Fly-Buck" sheetId="22" r:id="rId3"/>
    <sheet name="Fly-Buck_Calc" sheetId="2" state="hidden" r:id="rId4"/>
    <sheet name="Fly-Buck-Boost" sheetId="25" r:id="rId5"/>
    <sheet name="Flyback CCM" sheetId="23" r:id="rId6"/>
    <sheet name="Flyback_CCM_Calc" sheetId="9" state="hidden" r:id="rId7"/>
    <sheet name="Flyback DCM" sheetId="26" r:id="rId8"/>
    <sheet name="Fly-BB_Calc" sheetId="8" state="hidden" r:id="rId9"/>
    <sheet name="Flyback_DCM_Calc" sheetId="16" state="hidden" r:id="rId10"/>
    <sheet name="Transformer" sheetId="3" state="hidden" r:id="rId11"/>
    <sheet name="Trans_Core" sheetId="15" state="hidden" r:id="rId12"/>
    <sheet name="Parts" sheetId="13" state="hidden" r:id="rId13"/>
    <sheet name="FlybacK CCM vs DCM" sheetId="21" state="hidden" r:id="rId14"/>
    <sheet name="Fly-Buck vs Fly-Buck-Boost" sheetId="20" state="hidden" r:id="rId15"/>
    <sheet name="Fly-Buck v Flyback" sheetId="19" state="hidden" r:id="rId16"/>
    <sheet name="Constants" sheetId="7" state="hidden" r:id="rId17"/>
    <sheet name="Rev Tracking" sheetId="10" state="hidden" r:id="rId18"/>
    <sheet name="Fly-Buck_Max" sheetId="27" state="hidden" r:id="rId19"/>
  </sheets>
  <externalReferences>
    <externalReference r:id="rId20"/>
  </externalReferences>
  <definedNames>
    <definedName name="a1_FB">Transformer!$E$29</definedName>
    <definedName name="a1_FBB">Transformer!$E$65</definedName>
    <definedName name="a1_FlyB_CCM">Transformer!$E$100</definedName>
    <definedName name="a1_FlyB_DCM">Transformer!$E$137</definedName>
    <definedName name="a2_FB">Transformer!$E$30</definedName>
    <definedName name="a2_FBB">Transformer!$E$66</definedName>
    <definedName name="a2_FlyB_CCM">Transformer!$E$101</definedName>
    <definedName name="a2_FlyB_DCM">Transformer!$E$138</definedName>
    <definedName name="a3_FB">Transformer!$E$31</definedName>
    <definedName name="a3_FBB">Transformer!$E$67</definedName>
    <definedName name="a3_FlyB_CCM">Transformer!$E$102</definedName>
    <definedName name="a3_FlyB_DCM">Transformer!$E$139</definedName>
    <definedName name="a4_FB">Transformer!$E$32</definedName>
    <definedName name="a4_FBB">Transformer!$E$68</definedName>
    <definedName name="a4_FlyB_CCM">Transformer!$E$103</definedName>
    <definedName name="a4_FlyB_DCM">Transformer!$E$140</definedName>
    <definedName name="a5_FB">Transformer!$E$33</definedName>
    <definedName name="a5_FBB">Transformer!$E$69</definedName>
    <definedName name="a5_FlyB_CCM">Transformer!$E$104</definedName>
    <definedName name="a5_FlyB_DCM">Transformer!$E$141</definedName>
    <definedName name="a6_FB">Transformer!$E$34</definedName>
    <definedName name="a6_FBB">Transformer!$E$70</definedName>
    <definedName name="a6_FlyB_CCM">Transformer!$E$105</definedName>
    <definedName name="a6_FlyB_DCM">Transformer!$E$142</definedName>
    <definedName name="aAUX_FlyB_CCM">Transformer!$E$106</definedName>
    <definedName name="aAUX_FlyB_DCM">Transformer!$E$143</definedName>
    <definedName name="Ae_FB">Transformer!$B$21</definedName>
    <definedName name="Ae_FBB">Transformer!$F$56</definedName>
    <definedName name="Ae_Flyback_CCM">Transformer!$B$92</definedName>
    <definedName name="Ae_Flyback_DCM">Transformer!$B$129</definedName>
    <definedName name="aPri_FB">Transformer!$E$28</definedName>
    <definedName name="aPri_FBB">Transformer!$E$64</definedName>
    <definedName name="aPri_FlyB_CCM">Transformer!$E$99</definedName>
    <definedName name="aPri_FlyB_DCM">Transformer!$E$136</definedName>
    <definedName name="Aw1_FB">Transformer!$B$37</definedName>
    <definedName name="Aw1_FBB">Transformer!$H$65</definedName>
    <definedName name="Aw1_FlyB_CCM">Transformer!$B$109</definedName>
    <definedName name="Aw1_FlyB_DCM">Transformer!$B$146</definedName>
    <definedName name="Aw2_FB">Transformer!$B$38</definedName>
    <definedName name="Aw2_FBB">Transformer!$H$66</definedName>
    <definedName name="Aw2_FlyB_CCM">Transformer!$B$110</definedName>
    <definedName name="Aw2_FlyB_DCM">Transformer!$B$147</definedName>
    <definedName name="Aw3_FB">Transformer!$B$39</definedName>
    <definedName name="Aw3_FBB">Transformer!$H$67</definedName>
    <definedName name="Aw3_FlyB_CCM">Transformer!$B$111</definedName>
    <definedName name="Aw3_FlyB_DCM">Transformer!$B$148</definedName>
    <definedName name="Aw4_FB">Transformer!$B$40</definedName>
    <definedName name="Aw4_FBB">Transformer!$H$68</definedName>
    <definedName name="Aw4_FlyB_CCM">Transformer!$B$112</definedName>
    <definedName name="Aw4_FlyB_DCM">Transformer!$B$149</definedName>
    <definedName name="Aw5_FB">Transformer!$B$41</definedName>
    <definedName name="Aw5_FBB">Transformer!$H$69</definedName>
    <definedName name="Aw5_FlyB_CCM">Transformer!$B$113</definedName>
    <definedName name="Aw5_FlyB_DCM">Transformer!$B$150</definedName>
    <definedName name="Aw6_FB">Transformer!$B$42</definedName>
    <definedName name="Aw6_FBB">Transformer!$H$70</definedName>
    <definedName name="Aw6_FlyB_CCM">Transformer!$B$114</definedName>
    <definedName name="Aw6_FlyB_DCM">Transformer!$B$151</definedName>
    <definedName name="AwAUX_FlyB_CCM">Transformer!$B$115</definedName>
    <definedName name="AwAUX_FlyB_DCM">Transformer!$B$152</definedName>
    <definedName name="AWG_FB">Transformer!$E$36</definedName>
    <definedName name="AWG_FBB">Transformer!$D$72</definedName>
    <definedName name="AWG_Flyback_CCM">Transformer!$E$108</definedName>
    <definedName name="AWG_Flyback_DCM">Transformer!$E$145</definedName>
    <definedName name="AWG1_FB">Transformer!$E$37</definedName>
    <definedName name="AWG1_FBB">Transformer!$D$73</definedName>
    <definedName name="AWG1_Flyback_CCM">Transformer!$E$109</definedName>
    <definedName name="AWG1_Flyback_DCM">Transformer!$E$146</definedName>
    <definedName name="AWG2_FB">Transformer!$E$38</definedName>
    <definedName name="AWG2_FBB">Transformer!$D$74</definedName>
    <definedName name="AWG2_Flyback_CCM">Transformer!$E$110</definedName>
    <definedName name="AWG2_Flyback_DCM">Transformer!$E$147</definedName>
    <definedName name="AWG3_FB">Transformer!$E$39</definedName>
    <definedName name="AWG3_FBB">Transformer!$D$75</definedName>
    <definedName name="AWG3_Flyback_CCM">Transformer!$E$111</definedName>
    <definedName name="AWG3_Flyback_DCM">Transformer!$E$148</definedName>
    <definedName name="AWG4_FB">Transformer!$E$40</definedName>
    <definedName name="AWG4_FBB">Transformer!$D$76</definedName>
    <definedName name="AWG4_Flyback_CCM">Transformer!$E$112</definedName>
    <definedName name="AWG4_Flyback_DCM">Transformer!$E$149</definedName>
    <definedName name="AWG5_FB">Transformer!$E$41</definedName>
    <definedName name="AWG5_FBB">Transformer!$D$77</definedName>
    <definedName name="AWG5_Flyback_CCM">Transformer!$E$113</definedName>
    <definedName name="AWG5_Flyback_DCM">Transformer!$E$150</definedName>
    <definedName name="AWG6_FB">Transformer!$E$42</definedName>
    <definedName name="AWG6_FBB">Transformer!$D$78</definedName>
    <definedName name="AWG6_Flyback_CCM">Transformer!$E$114</definedName>
    <definedName name="AWG6_Flyback_DCM">Transformer!$E$151</definedName>
    <definedName name="AWGAUX_Flyback_CCM">Transformer!$E$115</definedName>
    <definedName name="AWGAUX_Flyback_DCM">Transformer!$E$152</definedName>
    <definedName name="AwPri_FB">Transformer!$B$36</definedName>
    <definedName name="AwPri_FBB">Transformer!$H$64</definedName>
    <definedName name="AwPri_FlyB_CCM">Transformer!$B$108</definedName>
    <definedName name="AwPri_FlyB_DCM">Transformer!$B$145</definedName>
    <definedName name="Bmax_FB">Transformer!$B$17</definedName>
    <definedName name="Bmax_FBB">Transformer!$B$49</definedName>
    <definedName name="Bmax_Flyback">Transformer!$B$88</definedName>
    <definedName name="Bmax_Flyback_DCM">Transformer!$B$125</definedName>
    <definedName name="Bsat_3F35">Trans_Core!$T$2</definedName>
    <definedName name="CM_3C92">Trans_Core!$N$27</definedName>
    <definedName name="CM_3C96">Trans_Core!$N$28</definedName>
    <definedName name="CM_3F35">Trans_Core!$N$25</definedName>
    <definedName name="CM_3F36">Trans_Core!$N$26</definedName>
    <definedName name="Coss_Flyback_CCM">'Flyback CCM'!$B$76*(10^-9)</definedName>
    <definedName name="Coss_Flyback_DCM">'Flyback DCM'!$B$73*(10^-9)</definedName>
    <definedName name="COUT1_FB">'Fly-Buck'!$B$100*(10^-6)</definedName>
    <definedName name="COUT1_FBB">'Fly-Buck-Boost'!$B$96*(10^-6)</definedName>
    <definedName name="COUT1_FlyB_CCM">'Flyback CCM'!$B$138*(10^-6)</definedName>
    <definedName name="COUT1_FlyB_DCM">'Flyback DCM'!$B$139*(10^-6)</definedName>
    <definedName name="COUT2_FB">'Fly-Buck'!$B$103*(10^-6)</definedName>
    <definedName name="COUT2_FBB">'Fly-Buck-Boost'!$B$99*(10^-6)</definedName>
    <definedName name="COUT2_FlyB_CCM">'Flyback CCM'!$B$141*(10^-6)</definedName>
    <definedName name="COUT2_FlyB_DCM">'Flyback DCM'!$B$142*(10^-6)</definedName>
    <definedName name="COUT3_FB">'Fly-Buck'!$B$106*(10^-6)</definedName>
    <definedName name="COUT3_FBB">'Fly-Buck-Boost'!$B$102*(10^-6)</definedName>
    <definedName name="COUT3_FlyB_CCM">'Flyback CCM'!$B$144*(10^-6)</definedName>
    <definedName name="COUT3_FlyB_DCM">'Flyback DCM'!$B$145*(10^-6)</definedName>
    <definedName name="COUT4_FB">'Fly-Buck'!$B$109*(10^-6)</definedName>
    <definedName name="COUT4_FBB">'Fly-Buck-Boost'!$B$105*(10^-6)</definedName>
    <definedName name="COUT4_FlyB_CCM">'Flyback CCM'!$B$147*(10^-6)</definedName>
    <definedName name="COUT4_FlyB_DCM">'Flyback DCM'!$B$148*(10^-6)</definedName>
    <definedName name="COUT5_FB">'Fly-Buck'!$B$112*(10^-6)</definedName>
    <definedName name="COUT5_FBB">'Fly-Buck-Boost'!$B$108*(10^-6)</definedName>
    <definedName name="COUT5_FlyB_CCM">'Flyback CCM'!$B$150*(10^-6)</definedName>
    <definedName name="COUT5_FlyB_DCM">'Flyback DCM'!$B$151*(10^-6)</definedName>
    <definedName name="COUT6_FB">'Fly-Buck'!$B$115*(10^-6)</definedName>
    <definedName name="COUT6_FBB">'Fly-Buck-Boost'!$B$111*(10^-6)</definedName>
    <definedName name="COUT6_FlyB_CCM">'Flyback CCM'!$B$153*(10^-6)</definedName>
    <definedName name="COUT6_FlyB_DCM">'Flyback DCM'!$B$154*(10^-6)</definedName>
    <definedName name="COUTAUX_FlyB_CCM">'Flyback CCM'!$B$156*(10^-6)</definedName>
    <definedName name="COUTAUX_FlyB_DCM">'Flyback DCM'!$B$157*(10^-6)</definedName>
    <definedName name="COUTPri_FB">'Fly-Buck'!$B$97*(10^-6)</definedName>
    <definedName name="COUTPri_FBB">'Fly-Buck-Boost'!$B$93*(10^-6)</definedName>
    <definedName name="Ct_3C92">Trans_Core!$S$27</definedName>
    <definedName name="Ct_3C96">Trans_Core!$S$28</definedName>
    <definedName name="Ct_3F35">Trans_Core!$S$25</definedName>
    <definedName name="Ct_3F36">Trans_Core!$S$26</definedName>
    <definedName name="Ct1_3C92">Trans_Core!$R$27</definedName>
    <definedName name="Ct1_3C96">Trans_Core!$R$28</definedName>
    <definedName name="Ct1_3F35">Trans_Core!$R$25</definedName>
    <definedName name="Ct1_3F36">Trans_Core!$R$26</definedName>
    <definedName name="Ct2_3C92">Trans_Core!$Q$27</definedName>
    <definedName name="Ct2_3C96">Trans_Core!$Q$28</definedName>
    <definedName name="Ct2_3F35">Trans_Core!$Q$25</definedName>
    <definedName name="Ct2_3F36">Trans_Core!$Q$26</definedName>
    <definedName name="D_spec">Designs!$B$10</definedName>
    <definedName name="DC_Step">Constants!$B$5</definedName>
    <definedName name="DMAX">[1]Sheet3!$O$5</definedName>
    <definedName name="dSkin">Transformer!$B$81</definedName>
    <definedName name="Eff" localSheetId="18">'Fly-Buck_Max'!$D$3</definedName>
    <definedName name="eff">Designs!$B$9</definedName>
    <definedName name="FB_MAX">[1]Sheet3!$O$3</definedName>
    <definedName name="FBB_MAX">[1]Sheet3!$O$4</definedName>
    <definedName name="Fly_Buck_Boost_Parts">Constants!$G$4:$G$7</definedName>
    <definedName name="Fly_Buck_Parts">Constants!$F$4:$F$7</definedName>
    <definedName name="Flyback_Parts">Constants!$H$4:$H$8</definedName>
    <definedName name="Flyback_Qrr">Constants!$B$11</definedName>
    <definedName name="Freq_Selector">Trans_Core!$L$25</definedName>
    <definedName name="Fsw">Fsw_Input*1000</definedName>
    <definedName name="Fsw_Input">Designs!$B$8</definedName>
    <definedName name="ILavg_FlyB">'Fly-Buck_Calc'!$B$26</definedName>
    <definedName name="ILpeak_Max_FB">'Fly-Buck_Calc'!$B$27</definedName>
    <definedName name="ILpeak_Max_FBB">'Fly-BB_Calc'!$B$26</definedName>
    <definedName name="ILpeak_Max_FlyB_CCM">Flyback_CCM_Calc!$B$27</definedName>
    <definedName name="ILpeak_Max_FlyB_DCM">Flyback_DCM_Calc!$B$27</definedName>
    <definedName name="ILripple_Max_FB">'Fly-Buck_Calc'!$B$28</definedName>
    <definedName name="ILripple_Max_FBB">'Fly-BB_Calc'!$B$27</definedName>
    <definedName name="ILripple_Max_FlyB_CCM">Flyback_CCM_Calc!$B$28</definedName>
    <definedName name="ILripple_Max_FlyB_DCM">Flyback_DCM_Calc!$B$28</definedName>
    <definedName name="ILrms_Ipri_FB">'Fly-Buck_Calc'!$B$32</definedName>
    <definedName name="ILrms_Ipri_FBB">'Fly-BB_Calc'!$B$31</definedName>
    <definedName name="ILrms_Ipri_FlyB_CCM">Flyback_CCM_Calc!$B$32</definedName>
    <definedName name="ILrms_Ipri_FlyB_DCM">Flyback_DCM_Calc!$B$32</definedName>
    <definedName name="ILrms_IVAUX_FlyB_CCM">Flyback_CCM_Calc!$B$39</definedName>
    <definedName name="ILrms_IVAUX_FlyB_DCM">Flyback_DCM_Calc!$B$39</definedName>
    <definedName name="ILrms_IVOUT1_FlyB_CCM">Flyback_CCM_Calc!$B$33</definedName>
    <definedName name="ILrms_IVOUT1_FlyB_DCM">Flyback_DCM_Calc!$B$33</definedName>
    <definedName name="ILrms_IVOUT2_FlyB_CCM">Flyback_CCM_Calc!$B$34</definedName>
    <definedName name="ILrms_IVOUT2_FlyB_DCM">Flyback_DCM_Calc!$B$34</definedName>
    <definedName name="ILrms_IVOUT3_FlyB_CCM">Flyback_CCM_Calc!$B$35</definedName>
    <definedName name="ILrms_IVOUT3_FlyB_DCM">Flyback_DCM_Calc!$B$35</definedName>
    <definedName name="ILrms_IVOUT4_FlyB_CCM">Flyback_CCM_Calc!$B$36</definedName>
    <definedName name="ILrms_IVOUT4_FlyB_DCM">Flyback_DCM_Calc!$B$36</definedName>
    <definedName name="ILrms_IVOUT5_FlyB_CCM">Flyback_CCM_Calc!$B$37</definedName>
    <definedName name="ILrms_IVOUT5_FlyB_DCM">Flyback_DCM_Calc!$B$37</definedName>
    <definedName name="ILrms_IVOUT6_FlyB_CCM">Flyback_CCM_Calc!$B$38</definedName>
    <definedName name="ILrms_IVOUT6_FlyB_DCM">Flyback_DCM_Calc!$B$38</definedName>
    <definedName name="ILrms_Max_FB">'Fly-Buck_Calc'!$B$32</definedName>
    <definedName name="ILrms_Max_FBB">'Fly-BB_Calc'!$B$31</definedName>
    <definedName name="ILrms_Max_FlyB_CCM">Flyback_CCM_Calc!$B$29</definedName>
    <definedName name="ILrms_Max_FlyB_DCM">Flyback_DCM_Calc!$B$29</definedName>
    <definedName name="ILrms_Total_Max_FB">'Fly-Buck_Calc'!$B$31</definedName>
    <definedName name="ILrms_Total_Max_FB_CCM">Flyback_CCM_Calc!$B$31</definedName>
    <definedName name="ILrms_Total_Max_FB_DCM">Flyback_DCM_Calc!$B$31</definedName>
    <definedName name="ILrms_Total_Max_FBB">'Fly-BB_Calc'!$B$30</definedName>
    <definedName name="ILrms_VOUT1_FB">'Fly-Buck_Calc'!$B$33</definedName>
    <definedName name="ILrms_VOUT1_FBB">'Fly-BB_Calc'!$B$32</definedName>
    <definedName name="ILrms_VOUT2_FB">'Fly-Buck_Calc'!$B$34</definedName>
    <definedName name="ILrms_VOUT2_FBB">'Fly-BB_Calc'!$B$33</definedName>
    <definedName name="ILrms_VOUT3_FB">'Fly-Buck_Calc'!$B$35</definedName>
    <definedName name="ILrms_VOUT3_FBB">'Fly-BB_Calc'!$B$34</definedName>
    <definedName name="ILrms_VOUT4_FB">'Fly-Buck_Calc'!$B$36</definedName>
    <definedName name="ILrms_VOUT4_FBB">'Fly-BB_Calc'!$B$35</definedName>
    <definedName name="ILrms_VOUT5_FB">'Fly-Buck_Calc'!$B$37</definedName>
    <definedName name="ILrms_VOUT5_FBB">'Fly-BB_Calc'!$B$36</definedName>
    <definedName name="ILrms_VOUT6_FB">'Fly-Buck_Calc'!$B$38</definedName>
    <definedName name="ILrms_VOUT6_FBB">'Fly-BB_Calc'!$B$37</definedName>
    <definedName name="Iout1">Designs!$B$33</definedName>
    <definedName name="Iout2">Designs!$B$38</definedName>
    <definedName name="Iout3">Designs!$B$43</definedName>
    <definedName name="Iout4">Designs!$B$48</definedName>
    <definedName name="Iout5">Designs!$B$53</definedName>
    <definedName name="Iout6">Designs!$B$58</definedName>
    <definedName name="IoutAux">Designs!$B$27</definedName>
    <definedName name="IoutPri_FB">Designs!$B$18</definedName>
    <definedName name="IoutPri_FBB">Designs!$B$23</definedName>
    <definedName name="ISW_5017">[1]Sheet3!$R$4</definedName>
    <definedName name="ISW_5160">[1]Sheet3!$R$3</definedName>
    <definedName name="Kg_FB">Transformer!$B$18</definedName>
    <definedName name="Kg_FBB">Transformer!$B$50</definedName>
    <definedName name="Kg_Flyback">Transformer!$B$89</definedName>
    <definedName name="Kg_Flyback_DCM">Transformer!$B$126</definedName>
    <definedName name="Ku_FB">Transformer!$B$15</definedName>
    <definedName name="Ku_FBB">Transformer!$B$47</definedName>
    <definedName name="Ku_FlyBack">Transformer!$B$86</definedName>
    <definedName name="Ku_FlyBack_DCM">Transformer!$B$123</definedName>
    <definedName name="Lcalc_FB_VinMax">'Fly-Buck_Calc'!$F$27</definedName>
    <definedName name="Lcalc_FB_VinMin">'Fly-Buck_Calc'!$F$25</definedName>
    <definedName name="Lcalc_FB_VinNom">'Fly-Buck_Calc'!$F$26</definedName>
    <definedName name="Lcalc_FBB_VinMax">'Fly-BB_Calc'!$I$15</definedName>
    <definedName name="Lcalc_FBB_VinMin">'Fly-BB_Calc'!$I$13</definedName>
    <definedName name="Lcalc_FBB_VinNom">'Fly-BB_Calc'!$I$14</definedName>
    <definedName name="Lcalc_Flyback_crit">Flyback_CCM_Calc!$B$25</definedName>
    <definedName name="Lcalc_Flyback_VinMax">Flyback_CCM_Calc!$H$19</definedName>
    <definedName name="Lcalc_Flyback_VinMin">Flyback_CCM_Calc!$H$17</definedName>
    <definedName name="Lcalc_Flyback_VinNom">Flyback_CCM_Calc!$H$18</definedName>
    <definedName name="Le_FB">Transformer!$B$20</definedName>
    <definedName name="Le_FBB">Transformer!$F$55</definedName>
    <definedName name="Le_Flyback_CCM">Transformer!$B$91</definedName>
    <definedName name="Le_Flyback_DCM">Transformer!$B$128</definedName>
    <definedName name="LL_Flyback_CCM">'Flyback CCM'!$B$28*(10^-6)</definedName>
    <definedName name="LL_Flyback_DCM">'Flyback DCM'!$B$29*(10^-6)</definedName>
    <definedName name="Lm_FlyB">Lm_FlyB_Input*(10^-6)</definedName>
    <definedName name="Lm_FlyB_Input">'Fly-Buck'!$B$24</definedName>
    <definedName name="Lm_Flyback_CCM">Lm_Flyback_CCM_Input*(10^-6)</definedName>
    <definedName name="Lm_Flyback_CCM_Input">'Flyback CCM'!$B$26</definedName>
    <definedName name="Lm_Flyback_DCM">Lm_Flyback_DCM_Input*(10^-6)</definedName>
    <definedName name="Lm_Flyback_DCM_Input">'Flyback DCM'!$B$27</definedName>
    <definedName name="Lm_FlyBB">Lm_FlyBB_Input*(10^-6)</definedName>
    <definedName name="Lm_FlyBB_Input">'Fly-Buck-Boost'!$B$25</definedName>
    <definedName name="MLT_FB">Transformer!$B$24</definedName>
    <definedName name="MLT_FBB">Transformer!$F$59</definedName>
    <definedName name="MLT_Flyback_CCM">Transformer!$B$95</definedName>
    <definedName name="MLT_Flyback_DCM">Transformer!$B$132</definedName>
    <definedName name="n">[1]Sheet3!$L$5</definedName>
    <definedName name="n1_FlyB">'Fly-Buck'!$E$15</definedName>
    <definedName name="n1_FlyB_Calc">'Fly-Buck'!$B$15</definedName>
    <definedName name="n1_Flyback">'Flyback CCM'!$E$16</definedName>
    <definedName name="n1_Flyback_Calc">'Flyback CCM'!$B$16</definedName>
    <definedName name="n1_FlyBB">'Fly-Buck-Boost'!$E$16</definedName>
    <definedName name="n1_FlyBB_Calc">'Fly-Buck-Boost'!$B$16</definedName>
    <definedName name="n2_FlyB">'Fly-Buck'!$E$16</definedName>
    <definedName name="n2_FlyB_Calc">'Fly-Buck'!$B$16</definedName>
    <definedName name="n2_Flyback">'Flyback CCM'!$E$17</definedName>
    <definedName name="n2_Flyback_Calc">'Flyback CCM'!$B$17</definedName>
    <definedName name="n2_FlyBB">'Fly-Buck-Boost'!$E$17</definedName>
    <definedName name="n2_FlyBB_Calc">'Fly-Buck-Boost'!$B$17</definedName>
    <definedName name="n3_FlyB">'Fly-Buck'!$E$17</definedName>
    <definedName name="n3_FlyB_Calc">'Fly-Buck'!$B$17</definedName>
    <definedName name="n3_Flyback">'Flyback CCM'!$E$18</definedName>
    <definedName name="n3_Flyback_Calc">'Flyback CCM'!$B$18</definedName>
    <definedName name="n3_FlyBB">'Fly-Buck-Boost'!$E$18</definedName>
    <definedName name="n3_FlyBB_Calc">'Fly-Buck-Boost'!$B$18</definedName>
    <definedName name="n4_FlyB">'Fly-Buck'!$E$18</definedName>
    <definedName name="n4_FlyB_Calc">'Fly-Buck'!$B$18</definedName>
    <definedName name="n4_Flyback">'Flyback CCM'!$E$19</definedName>
    <definedName name="n4_Flyback_Calc">'Flyback CCM'!$B$19</definedName>
    <definedName name="n4_FlyBB">'Fly-Buck-Boost'!$E$19</definedName>
    <definedName name="n4_FlyBB_Calc">'Fly-Buck-Boost'!$B$19</definedName>
    <definedName name="n5_FlyB">'Fly-Buck'!$E$19</definedName>
    <definedName name="n5_FlyB_Calc">'Fly-Buck'!$B$19</definedName>
    <definedName name="n5_Flyback">'Flyback CCM'!$E$20</definedName>
    <definedName name="n5_Flyback_Calc">'Flyback CCM'!$B$20</definedName>
    <definedName name="n5_FlyBB">'Fly-Buck-Boost'!$E$20</definedName>
    <definedName name="n5_FlyBB_Calc">'Fly-Buck-Boost'!$B$20</definedName>
    <definedName name="n6_FlyB">'Fly-Buck'!$E$20</definedName>
    <definedName name="n6_FlyB_Calc">'Fly-Buck'!$B$20</definedName>
    <definedName name="n6_Flyback">'Flyback CCM'!$E$21</definedName>
    <definedName name="n6_Flyback_Calc">'Flyback CCM'!$B$21</definedName>
    <definedName name="n6_FlyBB">'Fly-Buck-Boost'!$E$21</definedName>
    <definedName name="n6_FlyBB_Calc">'Fly-Buck-Boost'!$B$21</definedName>
    <definedName name="nAux_Flyback">'Flyback CCM'!$E$22</definedName>
    <definedName name="nAUX_Flyback_Calc">'Flyback CCM'!$B$22</definedName>
    <definedName name="Np">Constants!$B$4</definedName>
    <definedName name="Np_T_FB">Transformer!$B$28</definedName>
    <definedName name="Np_T_FBB">Transformer!$B$64</definedName>
    <definedName name="Np_T_Flyback_CCM">Transformer!$B$99</definedName>
    <definedName name="Np_T_Flyback_DCM">Transformer!$B$136</definedName>
    <definedName name="Ns1_FBack_Calc">Flyback_CCM_Calc!$B$10</definedName>
    <definedName name="Ns1_FlyB">'Fly-Buck_Calc'!$B$13</definedName>
    <definedName name="Ns1_FlyB_Calc">'Fly-Buck_Calc'!$B$12</definedName>
    <definedName name="Ns1_Flyback">Flyback_CCM_Calc!$B$11</definedName>
    <definedName name="Ns1_FlyBB">'Fly-BB_Calc'!$B$13</definedName>
    <definedName name="Ns1_FlyBB_Calc">'Fly-BB_Calc'!$B$12</definedName>
    <definedName name="Ns2_FBack_Calc">Flyback_CCM_Calc!$B$12</definedName>
    <definedName name="Ns2_FlyB">'Fly-Buck_Calc'!$B$15</definedName>
    <definedName name="Ns2_FlyB_Calc">'Fly-Buck_Calc'!$B$14</definedName>
    <definedName name="Ns2_Flyback">Flyback_CCM_Calc!$B$13</definedName>
    <definedName name="Ns2_FlyBB">'Fly-BB_Calc'!$B$15</definedName>
    <definedName name="Ns2_FlyBB_Calc">'Fly-BB_Calc'!$B$14</definedName>
    <definedName name="Ns3_FBack_Calc">Flyback_CCM_Calc!$B$14</definedName>
    <definedName name="Ns3_FlyB">'Fly-Buck_Calc'!$B$17</definedName>
    <definedName name="Ns3_FlyB_Calc">'Fly-Buck_Calc'!$B$16</definedName>
    <definedName name="Ns3_Flyback">Flyback_CCM_Calc!$B$15</definedName>
    <definedName name="Ns3_FlyBB">'Fly-BB_Calc'!$B$17</definedName>
    <definedName name="Ns3_FlyBB_Calc">'Fly-BB_Calc'!$B$16</definedName>
    <definedName name="Ns4_FBack_Calc">Flyback_CCM_Calc!$B$16</definedName>
    <definedName name="Ns4_FlyB">'Fly-Buck_Calc'!$B$19</definedName>
    <definedName name="Ns4_FlyB_Calc">'Fly-Buck_Calc'!$B$18</definedName>
    <definedName name="Ns4_Flyback">Flyback_CCM_Calc!$B$17</definedName>
    <definedName name="Ns4_FlyBB">'Fly-BB_Calc'!$B$19</definedName>
    <definedName name="Ns4_FlyBB_Calc">'Fly-BB_Calc'!$B$18</definedName>
    <definedName name="Ns5_FBack_Calc">Flyback_CCM_Calc!$B$18</definedName>
    <definedName name="Ns5_FlyB">'Fly-Buck_Calc'!$B$21</definedName>
    <definedName name="Ns5_FlyB_Calc">'Fly-Buck_Calc'!$B$20</definedName>
    <definedName name="Ns5_Flyback">Flyback_CCM_Calc!$B$19</definedName>
    <definedName name="Ns5_FlyBB">'Fly-BB_Calc'!$B$21</definedName>
    <definedName name="Ns5_FlyBB_Calc">'Fly-BB_Calc'!$B$20</definedName>
    <definedName name="Ns6_FBack_Calc">Flyback_CCM_Calc!$B$20</definedName>
    <definedName name="Ns6_FlyB">'Fly-Buck_Calc'!$B$23</definedName>
    <definedName name="Ns6_FlyB_Calc">'Fly-Buck_Calc'!$B$22</definedName>
    <definedName name="Ns6_Flyback">Flyback_CCM_Calc!$B$21</definedName>
    <definedName name="Ns6_FlyBB">'Fly-BB_Calc'!$B$23</definedName>
    <definedName name="Ns6_FlyBB_Calc">'Fly-BB_Calc'!$B$22</definedName>
    <definedName name="NsAux_FBack_Calc">Flyback_CCM_Calc!$B$22</definedName>
    <definedName name="NsAux_Flyback">Flyback_CCM_Calc!$B$23</definedName>
    <definedName name="NVAUX_T_Flyback_CCM">Transformer!$B$106</definedName>
    <definedName name="NVAUX_T_Flyback_DCM">Transformer!$B$143</definedName>
    <definedName name="NVout1_T_FB">Transformer!$B$29</definedName>
    <definedName name="NVout1_T_FBB">Transformer!$B$65</definedName>
    <definedName name="NVout1_T_Flyback_CCM">Transformer!$B$100</definedName>
    <definedName name="NVout1_T_Flyback_DCM">Transformer!$B$137</definedName>
    <definedName name="NVout2_T_FB">Transformer!$B$30</definedName>
    <definedName name="NVout2_T_FBB">Transformer!$B$66</definedName>
    <definedName name="NVout2_T_Flyback_CCM">Transformer!$B$101</definedName>
    <definedName name="NVout2_T_Flyback_DCM">Transformer!$B$138</definedName>
    <definedName name="NVout3_T_FB">Transformer!$B$31</definedName>
    <definedName name="NVout3_T_FBB">Transformer!$B$67</definedName>
    <definedName name="NVout3_T_Flyback_CCM">Transformer!$B$102</definedName>
    <definedName name="NVout3_T_Flyback_DCM">Transformer!$B$139</definedName>
    <definedName name="NVout4_T_FB">Transformer!$B$32</definedName>
    <definedName name="NVout4_T_FBB">Transformer!$B$68</definedName>
    <definedName name="NVout4_T_Flyback_CCM">Transformer!$B$103</definedName>
    <definedName name="NVout4_T_Flyback_DCM">Transformer!$B$140</definedName>
    <definedName name="NVout5_T_FB">Transformer!$B$33</definedName>
    <definedName name="NVout5_T_FBB">Transformer!$B$69</definedName>
    <definedName name="NVout5_T_Flyback_CCM">Transformer!$B$104</definedName>
    <definedName name="NVout5_T_Flyback_DCM">Transformer!$B$141</definedName>
    <definedName name="NVout6_T_FB">Transformer!$B$34</definedName>
    <definedName name="NVout6_T_FBB">Transformer!$B$70</definedName>
    <definedName name="NVout6_T_Flyback_CCM">Transformer!$B$105</definedName>
    <definedName name="NVout6_T_Flyback_DCM">Transformer!$B$142</definedName>
    <definedName name="pcu">Constants!$B$8</definedName>
    <definedName name="pcu_100C">Constants!$B$9</definedName>
    <definedName name="Pcu_Loss_FB">Transformer!$B$16</definedName>
    <definedName name="Pcu_Loss_FBB">Transformer!$B$48</definedName>
    <definedName name="Pcu_Loss_Flyback_CCM">Transformer!$B$87</definedName>
    <definedName name="Pcu_Loss_Flyback_DCM">Transformer!$B$124</definedName>
    <definedName name="PermAir">Constants!$B$7</definedName>
    <definedName name="Pout_FB">Designs!$B$62</definedName>
    <definedName name="Pout_FBB">Designs!$B$63</definedName>
    <definedName name="Pout_Flyback">Designs!$B$64</definedName>
    <definedName name="Pout_Step">Constants!$B$6</definedName>
    <definedName name="Rac1_FB">Transformer!$M$37</definedName>
    <definedName name="Rac1_FBB">Transformer!$M$73</definedName>
    <definedName name="Rac1_Flyback_CCM">Transformer!$M$109</definedName>
    <definedName name="Rac1_Flyback_DCM">Transformer!$M$146</definedName>
    <definedName name="Rac2_FB">Transformer!$M$38</definedName>
    <definedName name="Rac2_FBB">Transformer!$M$74</definedName>
    <definedName name="Rac2_Flyback_CCM">Transformer!$M$110</definedName>
    <definedName name="Rac2_Flyback_DCM">Transformer!$M$147</definedName>
    <definedName name="Rac3_FB">Transformer!$M$39</definedName>
    <definedName name="Rac3_FBB">Transformer!$M$75</definedName>
    <definedName name="Rac3_Flyback_CCM">Transformer!$M$111</definedName>
    <definedName name="Rac3_Flyback_DCM">Transformer!$M$148</definedName>
    <definedName name="Rac4_FB">Transformer!$M$40</definedName>
    <definedName name="Rac4_FBB">Transformer!$M$76</definedName>
    <definedName name="Rac4_Flyback_CCM">Transformer!$M$112</definedName>
    <definedName name="Rac4_Flyback_DCM">Transformer!$M$149</definedName>
    <definedName name="Rac5_FB">Transformer!$M$41</definedName>
    <definedName name="Rac5_FBB">Transformer!$M$77</definedName>
    <definedName name="Rac5_Flyback_CCM">Transformer!$M$113</definedName>
    <definedName name="Rac5_Flyback_DCM">Transformer!$M$150</definedName>
    <definedName name="Rac6_FB">Transformer!$M$42</definedName>
    <definedName name="Rac6_FBB">Transformer!$M$78</definedName>
    <definedName name="Rac6_Flyback_CCM">Transformer!$M$114</definedName>
    <definedName name="Rac6_Flyback_DCM">Transformer!$M$151</definedName>
    <definedName name="RacAUX_Flyback_CCM">Transformer!$M$115</definedName>
    <definedName name="RacAUX_Flyback_DCM">Transformer!$M$152</definedName>
    <definedName name="RacPri_FB">Transformer!$M$36</definedName>
    <definedName name="RacPri_FBB">Transformer!$M$72</definedName>
    <definedName name="RacPri_Flyback_CCM">Transformer!$M$108</definedName>
    <definedName name="RacPri_Flyback_DCM">Transformer!$M$145</definedName>
    <definedName name="Rdc1_FB">Transformer!$J$37</definedName>
    <definedName name="Rdc1_FBB">Transformer!$J$73</definedName>
    <definedName name="Rdc1_Flyback_CCM">Transformer!$J$109</definedName>
    <definedName name="Rdc1_Flyback_DCM">Transformer!$J$146</definedName>
    <definedName name="Rdc2_FB">Transformer!$J$38</definedName>
    <definedName name="Rdc2_FBB">Transformer!$J$74</definedName>
    <definedName name="Rdc2_Flyback_CCM">Transformer!$J$110</definedName>
    <definedName name="Rdc2_Flyback_DCM">Transformer!$J$147</definedName>
    <definedName name="Rdc3_FB">Transformer!$J$39</definedName>
    <definedName name="Rdc3_FBB">Transformer!$J$75</definedName>
    <definedName name="Rdc3_Flyback_CCM">Transformer!$J$111</definedName>
    <definedName name="Rdc3_Flyback_DCM">Transformer!$J$148</definedName>
    <definedName name="Rdc4_FB">Transformer!$J$40</definedName>
    <definedName name="Rdc4_FBB">Transformer!$J$76</definedName>
    <definedName name="Rdc4_Flyback_CCM">Transformer!$J$112</definedName>
    <definedName name="Rdc4_Flyback_DCM">Transformer!$J$149</definedName>
    <definedName name="Rdc5_FB">Transformer!$J$41</definedName>
    <definedName name="Rdc5_FBB">Transformer!$J$77</definedName>
    <definedName name="Rdc5_Flyback_CCM">Transformer!$J$113</definedName>
    <definedName name="Rdc5_Flyback_DCM">Transformer!$J$150</definedName>
    <definedName name="Rdc6_FB">Transformer!$J$42</definedName>
    <definedName name="Rdc6_FBB">Transformer!$J$78</definedName>
    <definedName name="Rdc6_Flyback_CCM">Transformer!$J$114</definedName>
    <definedName name="Rdc6_Flyback_DCM">Transformer!$J$151</definedName>
    <definedName name="RdcAUX_Flyback_CCM">Transformer!$J$115</definedName>
    <definedName name="RdcAUX_Flyback_DCM">Transformer!$J$152</definedName>
    <definedName name="RdcPri_FB">Transformer!$J$36</definedName>
    <definedName name="RdcPri_FBB">Transformer!$J$72</definedName>
    <definedName name="RdcPri_Flyback_CCM">Transformer!$J$108</definedName>
    <definedName name="RdcPri_Flyback_DCM">Transformer!$J$145</definedName>
    <definedName name="Rip" localSheetId="18">'Fly-Buck_Max'!#REF!</definedName>
    <definedName name="Rip">[1]Sheet1!$E$4</definedName>
    <definedName name="RR">Designs!$B$11</definedName>
    <definedName name="STEP_SIZE">[1]Sheet3!$A$7</definedName>
    <definedName name="T_Index_FB">Transformer!$E$11</definedName>
    <definedName name="T_Index_FBB">Transformer!$E$48</definedName>
    <definedName name="T_Index_Flyback_CCM">Transformer!$E$82</definedName>
    <definedName name="T_Index_Flyback_DCM">Transformer!$E$119</definedName>
    <definedName name="T_Rise_Fall">Constants!$B$10</definedName>
    <definedName name="TC_3C92">Trans_Core!$T$27</definedName>
    <definedName name="TC_3C96">Trans_Core!$T$28</definedName>
    <definedName name="TC_3F35">Trans_Core!$T$25</definedName>
    <definedName name="TC_3F36">Trans_Core!$T$26</definedName>
    <definedName name="Vclamp_Flyback_CCM">'Flyback CCM'!$B$79</definedName>
    <definedName name="Vclamp_Flyback_DCM">'Flyback DCM'!$B$76</definedName>
    <definedName name="Vdiode1">Designs!$B$35</definedName>
    <definedName name="Vdiode2">Designs!$B$40</definedName>
    <definedName name="Vdiode3">Designs!$B$45</definedName>
    <definedName name="Vdiode4">Designs!$B$50</definedName>
    <definedName name="Vdiode5">Designs!$B$55</definedName>
    <definedName name="Vdiode6">Designs!$B$60</definedName>
    <definedName name="VdiodeAux">Designs!$B$29</definedName>
    <definedName name="Ve_FB">Transformer!$B$22</definedName>
    <definedName name="Ve_FBB">Transformer!$F$57</definedName>
    <definedName name="Ve_Flyback_CCM">Transformer!$B$93</definedName>
    <definedName name="Ve_Flyback_DCM">Transformer!$B$130</definedName>
    <definedName name="VIN_MAX">[1]Sheet3!$L$4</definedName>
    <definedName name="VIN_MIN">[1]Sheet3!$L$3</definedName>
    <definedName name="VinMax">Designs!$B$7</definedName>
    <definedName name="VinMin">Designs!$B$5</definedName>
    <definedName name="VinNom">Designs!$B$6</definedName>
    <definedName name="Vout1">Designs!$B$32</definedName>
    <definedName name="Vout1_Ripple">Designs!$B$34</definedName>
    <definedName name="Vout2">Designs!$B$37</definedName>
    <definedName name="Vout2_Ripple">Designs!$B$39</definedName>
    <definedName name="Vout3">Designs!$B$42</definedName>
    <definedName name="Vout3_Ripple">Designs!$B$44</definedName>
    <definedName name="Vout4">Designs!$B$47</definedName>
    <definedName name="Vout4_Ripple">Designs!$B$49</definedName>
    <definedName name="Vout5">Designs!$B$52</definedName>
    <definedName name="Vout5_Ripple">Designs!$B$54</definedName>
    <definedName name="Vout6">Designs!$B$57</definedName>
    <definedName name="Vout6_Ripple">Designs!$B$59</definedName>
    <definedName name="VOUTAUX">Designs!$B$26</definedName>
    <definedName name="VoutAUX_Ripple">Designs!$B$28</definedName>
    <definedName name="VoutPri_FB">Designs!$B$17</definedName>
    <definedName name="VoutPri_FBB">Designs!$B$22</definedName>
    <definedName name="VoutPri_Ripple_FB">Designs!$B$19</definedName>
    <definedName name="VoutPri_Ripple_FBB">Designs!$B$24</definedName>
    <definedName name="Vpmax">'[1]Vijay Max'!$D$5</definedName>
    <definedName name="Vpri" localSheetId="16">'[1]Vijay Max'!$D$4</definedName>
    <definedName name="Vpri" localSheetId="18">'Fly-Buck_Max'!$D$4</definedName>
    <definedName name="Vpri">[1]Sheet1!$E$5</definedName>
    <definedName name="Wa_FB">Transformer!$B$23</definedName>
    <definedName name="Wa_FBB">Transformer!$F$58</definedName>
    <definedName name="Wa_Flyback_CCM">Transformer!$B$94</definedName>
    <definedName name="Wa_Flyback_DCM">Transformer!$B$131</definedName>
    <definedName name="x_3C92">Trans_Core!$O$27</definedName>
    <definedName name="x_3C96">Trans_Core!$O$28</definedName>
    <definedName name="x_3F35">Trans_Core!$O$25</definedName>
    <definedName name="x_3F36">Trans_Core!$O$26</definedName>
    <definedName name="y_3C92">Trans_Core!$P$27</definedName>
    <definedName name="y_3C96">Trans_Core!$P$28</definedName>
    <definedName name="y_3F35">Trans_Core!$P$25</definedName>
    <definedName name="y_3F36">Trans_Core!$P$26</definedName>
  </definedNames>
  <calcPr calcId="145621"/>
</workbook>
</file>

<file path=xl/calcChain.xml><?xml version="1.0" encoding="utf-8"?>
<calcChain xmlns="http://schemas.openxmlformats.org/spreadsheetml/2006/main">
  <c r="B164" i="26" l="1"/>
  <c r="B156" i="9"/>
  <c r="B154" i="9"/>
  <c r="B152" i="9"/>
  <c r="B149" i="9"/>
  <c r="B129" i="16"/>
  <c r="B127" i="16"/>
  <c r="B125" i="16"/>
  <c r="B114" i="16"/>
  <c r="B113" i="16"/>
  <c r="B115" i="16"/>
  <c r="DD60" i="16" s="1"/>
  <c r="DE60" i="16" s="1"/>
  <c r="B122" i="16"/>
  <c r="B121" i="16"/>
  <c r="B119" i="16"/>
  <c r="B118" i="16"/>
  <c r="B139" i="9"/>
  <c r="B136" i="9"/>
  <c r="B135" i="9"/>
  <c r="B127" i="9"/>
  <c r="B130" i="9"/>
  <c r="B129" i="9"/>
  <c r="B126" i="16" l="1"/>
  <c r="B189" i="26" s="1"/>
  <c r="B133" i="9"/>
  <c r="B141" i="9"/>
  <c r="B143" i="9"/>
  <c r="B132" i="9"/>
  <c r="B142" i="9" s="1"/>
  <c r="B189" i="23" l="1"/>
  <c r="B112" i="16"/>
  <c r="B166" i="26" l="1"/>
  <c r="B183" i="23"/>
  <c r="B73" i="16" l="1"/>
  <c r="B92" i="16" s="1"/>
  <c r="B120" i="16" s="1"/>
  <c r="B128" i="16" s="1"/>
  <c r="B191" i="26" s="1"/>
  <c r="B74" i="9"/>
  <c r="B87" i="9" s="1"/>
  <c r="H13" i="16"/>
  <c r="G13" i="16"/>
  <c r="F13" i="16"/>
  <c r="H28" i="9"/>
  <c r="G28" i="9"/>
  <c r="F28" i="9"/>
  <c r="F27" i="9"/>
  <c r="G27" i="9"/>
  <c r="W12" i="13"/>
  <c r="V12" i="13"/>
  <c r="BC12" i="13"/>
  <c r="BB12" i="13"/>
  <c r="Y12" i="13"/>
  <c r="BG12" i="13" s="1"/>
  <c r="Y17" i="13"/>
  <c r="BG17" i="13" s="1"/>
  <c r="V17" i="13"/>
  <c r="BC17" i="13"/>
  <c r="BB17" i="13"/>
  <c r="W17" i="13"/>
  <c r="B75" i="16" l="1"/>
  <c r="B81" i="16"/>
  <c r="B82" i="16"/>
  <c r="B85" i="16"/>
  <c r="B89" i="16"/>
  <c r="B76" i="16"/>
  <c r="B74" i="16"/>
  <c r="B90" i="16"/>
  <c r="B91" i="16"/>
  <c r="B123" i="16" s="1"/>
  <c r="B186" i="26" s="1"/>
  <c r="B79" i="16"/>
  <c r="B80" i="16"/>
  <c r="B86" i="16"/>
  <c r="B77" i="16"/>
  <c r="B87" i="16"/>
  <c r="B78" i="16"/>
  <c r="B88" i="16"/>
  <c r="I13" i="16"/>
  <c r="B40" i="26" s="1"/>
  <c r="B77" i="9"/>
  <c r="B81" i="9"/>
  <c r="B91" i="9"/>
  <c r="B78" i="9"/>
  <c r="B83" i="9"/>
  <c r="B93" i="9"/>
  <c r="B134" i="9" s="1"/>
  <c r="B75" i="9"/>
  <c r="B79" i="9"/>
  <c r="B86" i="9"/>
  <c r="B76" i="9"/>
  <c r="B80" i="9"/>
  <c r="BK12" i="13"/>
  <c r="BK17" i="13"/>
  <c r="B94" i="16" s="1"/>
  <c r="I28" i="9"/>
  <c r="B39" i="23" s="1"/>
  <c r="BJ12" i="13"/>
  <c r="BI12" i="13"/>
  <c r="BE12" i="13"/>
  <c r="BI17" i="13"/>
  <c r="B96" i="16" s="1"/>
  <c r="BE17" i="13"/>
  <c r="B95" i="16" s="1"/>
  <c r="BJ17" i="13"/>
  <c r="B93" i="16" s="1"/>
  <c r="B147" i="9" l="1"/>
  <c r="D147" i="9" s="1"/>
  <c r="B183" i="26"/>
  <c r="B64" i="1"/>
  <c r="B63" i="1"/>
  <c r="B62" i="1"/>
  <c r="D116" i="8" l="1"/>
  <c r="D108" i="8"/>
  <c r="D100" i="8"/>
  <c r="D92" i="8"/>
  <c r="CE5" i="9" l="1"/>
  <c r="CF5" i="9"/>
  <c r="CG5" i="9"/>
  <c r="CH5" i="9"/>
  <c r="CI5" i="9"/>
  <c r="CJ5" i="9"/>
  <c r="CK5" i="9"/>
  <c r="CL5" i="9"/>
  <c r="CM5" i="9"/>
  <c r="CN5" i="9"/>
  <c r="CO5" i="9"/>
  <c r="CP5" i="9"/>
  <c r="CQ5" i="9"/>
  <c r="CE6" i="9"/>
  <c r="CF6" i="9"/>
  <c r="CG6" i="9"/>
  <c r="CH6" i="9"/>
  <c r="CI6" i="9"/>
  <c r="CJ6" i="9"/>
  <c r="CK6" i="9"/>
  <c r="CL6" i="9"/>
  <c r="CM6" i="9"/>
  <c r="CN6" i="9"/>
  <c r="CO6" i="9"/>
  <c r="CP6" i="9"/>
  <c r="CQ6" i="9"/>
  <c r="CE7" i="9"/>
  <c r="CF7" i="9"/>
  <c r="CG7" i="9"/>
  <c r="CH7" i="9"/>
  <c r="CI7" i="9"/>
  <c r="CJ7" i="9"/>
  <c r="CK7" i="9"/>
  <c r="CL7" i="9"/>
  <c r="CM7" i="9"/>
  <c r="CN7" i="9"/>
  <c r="CO7" i="9"/>
  <c r="CP7" i="9"/>
  <c r="CQ7" i="9"/>
  <c r="CE8" i="9"/>
  <c r="CF8" i="9"/>
  <c r="CG8" i="9"/>
  <c r="CH8" i="9"/>
  <c r="CI8" i="9"/>
  <c r="CJ8" i="9"/>
  <c r="CK8" i="9"/>
  <c r="CL8" i="9"/>
  <c r="CM8" i="9"/>
  <c r="CN8" i="9"/>
  <c r="CO8" i="9"/>
  <c r="CP8" i="9"/>
  <c r="CQ8" i="9"/>
  <c r="CE9" i="9"/>
  <c r="CF9" i="9"/>
  <c r="CG9" i="9"/>
  <c r="CH9" i="9"/>
  <c r="CI9" i="9"/>
  <c r="CJ9" i="9"/>
  <c r="CK9" i="9"/>
  <c r="CL9" i="9"/>
  <c r="CM9" i="9"/>
  <c r="CN9" i="9"/>
  <c r="CO9" i="9"/>
  <c r="CP9" i="9"/>
  <c r="CQ9" i="9"/>
  <c r="CE10" i="9"/>
  <c r="CF10" i="9"/>
  <c r="CG10" i="9"/>
  <c r="CH10" i="9"/>
  <c r="CI10" i="9"/>
  <c r="CJ10" i="9"/>
  <c r="CK10" i="9"/>
  <c r="CL10" i="9"/>
  <c r="CM10" i="9"/>
  <c r="CN10" i="9"/>
  <c r="CO10" i="9"/>
  <c r="CP10" i="9"/>
  <c r="CQ10" i="9"/>
  <c r="CE11" i="9"/>
  <c r="CF11" i="9"/>
  <c r="CG11" i="9"/>
  <c r="CH11" i="9"/>
  <c r="CI11" i="9"/>
  <c r="CJ11" i="9"/>
  <c r="CK11" i="9"/>
  <c r="CL11" i="9"/>
  <c r="CM11" i="9"/>
  <c r="CN11" i="9"/>
  <c r="CO11" i="9"/>
  <c r="CP11" i="9"/>
  <c r="CQ11" i="9"/>
  <c r="CE12" i="9"/>
  <c r="CF12" i="9"/>
  <c r="CG12" i="9"/>
  <c r="CH12" i="9"/>
  <c r="CI12" i="9"/>
  <c r="CJ12" i="9"/>
  <c r="CK12" i="9"/>
  <c r="CL12" i="9"/>
  <c r="CM12" i="9"/>
  <c r="CN12" i="9"/>
  <c r="CO12" i="9"/>
  <c r="CP12" i="9"/>
  <c r="CQ12" i="9"/>
  <c r="CE13" i="9"/>
  <c r="CF13" i="9"/>
  <c r="CG13" i="9"/>
  <c r="CH13" i="9"/>
  <c r="CI13" i="9"/>
  <c r="CJ13" i="9"/>
  <c r="CK13" i="9"/>
  <c r="CL13" i="9"/>
  <c r="CM13" i="9"/>
  <c r="CN13" i="9"/>
  <c r="CO13" i="9"/>
  <c r="CP13" i="9"/>
  <c r="CQ13" i="9"/>
  <c r="CE14" i="9"/>
  <c r="CF14" i="9"/>
  <c r="CG14" i="9"/>
  <c r="CH14" i="9"/>
  <c r="CI14" i="9"/>
  <c r="CJ14" i="9"/>
  <c r="CK14" i="9"/>
  <c r="CL14" i="9"/>
  <c r="CM14" i="9"/>
  <c r="CN14" i="9"/>
  <c r="CO14" i="9"/>
  <c r="CP14" i="9"/>
  <c r="CQ14" i="9"/>
  <c r="CE15" i="9"/>
  <c r="CF15" i="9"/>
  <c r="CG15" i="9"/>
  <c r="CH15" i="9"/>
  <c r="CI15" i="9"/>
  <c r="CJ15" i="9"/>
  <c r="CK15" i="9"/>
  <c r="CL15" i="9"/>
  <c r="CM15" i="9"/>
  <c r="CN15" i="9"/>
  <c r="CO15" i="9"/>
  <c r="CP15" i="9"/>
  <c r="CQ15" i="9"/>
  <c r="CE16" i="9"/>
  <c r="CF16" i="9"/>
  <c r="CG16" i="9"/>
  <c r="CH16" i="9"/>
  <c r="CI16" i="9"/>
  <c r="CJ16" i="9"/>
  <c r="CK16" i="9"/>
  <c r="CL16" i="9"/>
  <c r="CM16" i="9"/>
  <c r="CN16" i="9"/>
  <c r="CO16" i="9"/>
  <c r="CP16" i="9"/>
  <c r="CQ16" i="9"/>
  <c r="CE17" i="9"/>
  <c r="CF17" i="9"/>
  <c r="CG17" i="9"/>
  <c r="CH17" i="9"/>
  <c r="CI17" i="9"/>
  <c r="CJ17" i="9"/>
  <c r="CK17" i="9"/>
  <c r="CL17" i="9"/>
  <c r="CM17" i="9"/>
  <c r="CN17" i="9"/>
  <c r="CO17" i="9"/>
  <c r="CP17" i="9"/>
  <c r="CQ17" i="9"/>
  <c r="CE18" i="9"/>
  <c r="CF18" i="9"/>
  <c r="CG18" i="9"/>
  <c r="CH18" i="9"/>
  <c r="CI18" i="9"/>
  <c r="CJ18" i="9"/>
  <c r="CK18" i="9"/>
  <c r="CL18" i="9"/>
  <c r="CM18" i="9"/>
  <c r="CN18" i="9"/>
  <c r="CO18" i="9"/>
  <c r="CP18" i="9"/>
  <c r="CQ18" i="9"/>
  <c r="CE19" i="9"/>
  <c r="CF19" i="9"/>
  <c r="CG19" i="9"/>
  <c r="CH19" i="9"/>
  <c r="CI19" i="9"/>
  <c r="CJ19" i="9"/>
  <c r="CK19" i="9"/>
  <c r="CL19" i="9"/>
  <c r="CM19" i="9"/>
  <c r="CN19" i="9"/>
  <c r="CO19" i="9"/>
  <c r="CP19" i="9"/>
  <c r="CQ19" i="9"/>
  <c r="CE20" i="9"/>
  <c r="CF20" i="9"/>
  <c r="CG20" i="9"/>
  <c r="CH20" i="9"/>
  <c r="CI20" i="9"/>
  <c r="CJ20" i="9"/>
  <c r="CK20" i="9"/>
  <c r="CL20" i="9"/>
  <c r="CM20" i="9"/>
  <c r="CN20" i="9"/>
  <c r="CO20" i="9"/>
  <c r="CP20" i="9"/>
  <c r="CQ20" i="9"/>
  <c r="CE21" i="9"/>
  <c r="CF21" i="9"/>
  <c r="CG21" i="9"/>
  <c r="CH21" i="9"/>
  <c r="CI21" i="9"/>
  <c r="CJ21" i="9"/>
  <c r="CK21" i="9"/>
  <c r="CL21" i="9"/>
  <c r="CM21" i="9"/>
  <c r="CN21" i="9"/>
  <c r="CO21" i="9"/>
  <c r="CP21" i="9"/>
  <c r="CQ21" i="9"/>
  <c r="CE22" i="9"/>
  <c r="CF22" i="9"/>
  <c r="CG22" i="9"/>
  <c r="CH22" i="9"/>
  <c r="CI22" i="9"/>
  <c r="CJ22" i="9"/>
  <c r="CK22" i="9"/>
  <c r="CL22" i="9"/>
  <c r="CM22" i="9"/>
  <c r="CN22" i="9"/>
  <c r="CO22" i="9"/>
  <c r="CP22" i="9"/>
  <c r="CQ22" i="9"/>
  <c r="CE23" i="9"/>
  <c r="CF23" i="9"/>
  <c r="CG23" i="9"/>
  <c r="CH23" i="9"/>
  <c r="CI23" i="9"/>
  <c r="CJ23" i="9"/>
  <c r="CK23" i="9"/>
  <c r="CL23" i="9"/>
  <c r="CM23" i="9"/>
  <c r="CN23" i="9"/>
  <c r="CO23" i="9"/>
  <c r="CP23" i="9"/>
  <c r="CQ23" i="9"/>
  <c r="CE24" i="9"/>
  <c r="CF24" i="9"/>
  <c r="CG24" i="9"/>
  <c r="CH24" i="9"/>
  <c r="CI24" i="9"/>
  <c r="CJ24" i="9"/>
  <c r="CK24" i="9"/>
  <c r="CL24" i="9"/>
  <c r="CM24" i="9"/>
  <c r="CN24" i="9"/>
  <c r="CO24" i="9"/>
  <c r="CP24" i="9"/>
  <c r="CQ24" i="9"/>
  <c r="CE25" i="9"/>
  <c r="CF25" i="9"/>
  <c r="CG25" i="9"/>
  <c r="CH25" i="9"/>
  <c r="CI25" i="9"/>
  <c r="CJ25" i="9"/>
  <c r="CK25" i="9"/>
  <c r="CL25" i="9"/>
  <c r="CM25" i="9"/>
  <c r="CN25" i="9"/>
  <c r="CO25" i="9"/>
  <c r="CP25" i="9"/>
  <c r="CQ25" i="9"/>
  <c r="CE26" i="9"/>
  <c r="CF26" i="9"/>
  <c r="CG26" i="9"/>
  <c r="CH26" i="9"/>
  <c r="CI26" i="9"/>
  <c r="CJ26" i="9"/>
  <c r="CK26" i="9"/>
  <c r="CL26" i="9"/>
  <c r="CM26" i="9"/>
  <c r="CN26" i="9"/>
  <c r="CO26" i="9"/>
  <c r="CP26" i="9"/>
  <c r="CQ26" i="9"/>
  <c r="CE27" i="9"/>
  <c r="CF27" i="9"/>
  <c r="CG27" i="9"/>
  <c r="CH27" i="9"/>
  <c r="CI27" i="9"/>
  <c r="CJ27" i="9"/>
  <c r="CK27" i="9"/>
  <c r="CL27" i="9"/>
  <c r="CM27" i="9"/>
  <c r="CN27" i="9"/>
  <c r="CO27" i="9"/>
  <c r="CP27" i="9"/>
  <c r="CQ27" i="9"/>
  <c r="CE28" i="9"/>
  <c r="CF28" i="9"/>
  <c r="CG28" i="9"/>
  <c r="CH28" i="9"/>
  <c r="CI28" i="9"/>
  <c r="CJ28" i="9"/>
  <c r="CK28" i="9"/>
  <c r="CL28" i="9"/>
  <c r="CM28" i="9"/>
  <c r="CN28" i="9"/>
  <c r="CO28" i="9"/>
  <c r="CP28" i="9"/>
  <c r="CQ28" i="9"/>
  <c r="CE29" i="9"/>
  <c r="CF29" i="9"/>
  <c r="CG29" i="9"/>
  <c r="CH29" i="9"/>
  <c r="CI29" i="9"/>
  <c r="CJ29" i="9"/>
  <c r="CK29" i="9"/>
  <c r="CL29" i="9"/>
  <c r="CM29" i="9"/>
  <c r="CN29" i="9"/>
  <c r="CO29" i="9"/>
  <c r="CP29" i="9"/>
  <c r="CQ29" i="9"/>
  <c r="CE30" i="9"/>
  <c r="CF30" i="9"/>
  <c r="CG30" i="9"/>
  <c r="CH30" i="9"/>
  <c r="CI30" i="9"/>
  <c r="CJ30" i="9"/>
  <c r="CK30" i="9"/>
  <c r="CL30" i="9"/>
  <c r="CM30" i="9"/>
  <c r="CN30" i="9"/>
  <c r="CO30" i="9"/>
  <c r="CP30" i="9"/>
  <c r="CQ30" i="9"/>
  <c r="CE31" i="9"/>
  <c r="CF31" i="9"/>
  <c r="CG31" i="9"/>
  <c r="CH31" i="9"/>
  <c r="CI31" i="9"/>
  <c r="CJ31" i="9"/>
  <c r="CK31" i="9"/>
  <c r="CL31" i="9"/>
  <c r="CM31" i="9"/>
  <c r="CN31" i="9"/>
  <c r="CO31" i="9"/>
  <c r="CP31" i="9"/>
  <c r="CQ31" i="9"/>
  <c r="CE32" i="9"/>
  <c r="CF32" i="9"/>
  <c r="CG32" i="9"/>
  <c r="CH32" i="9"/>
  <c r="CI32" i="9"/>
  <c r="CJ32" i="9"/>
  <c r="CK32" i="9"/>
  <c r="CL32" i="9"/>
  <c r="CM32" i="9"/>
  <c r="CN32" i="9"/>
  <c r="CO32" i="9"/>
  <c r="CP32" i="9"/>
  <c r="CQ32" i="9"/>
  <c r="CE33" i="9"/>
  <c r="CF33" i="9"/>
  <c r="CG33" i="9"/>
  <c r="CH33" i="9"/>
  <c r="CI33" i="9"/>
  <c r="CJ33" i="9"/>
  <c r="CK33" i="9"/>
  <c r="CL33" i="9"/>
  <c r="CM33" i="9"/>
  <c r="CN33" i="9"/>
  <c r="CO33" i="9"/>
  <c r="CP33" i="9"/>
  <c r="CQ33" i="9"/>
  <c r="CE34" i="9"/>
  <c r="CF34" i="9"/>
  <c r="CG34" i="9"/>
  <c r="CH34" i="9"/>
  <c r="CI34" i="9"/>
  <c r="CJ34" i="9"/>
  <c r="CK34" i="9"/>
  <c r="CL34" i="9"/>
  <c r="CM34" i="9"/>
  <c r="CN34" i="9"/>
  <c r="CO34" i="9"/>
  <c r="CP34" i="9"/>
  <c r="CQ34" i="9"/>
  <c r="CE35" i="9"/>
  <c r="CF35" i="9"/>
  <c r="CG35" i="9"/>
  <c r="CH35" i="9"/>
  <c r="CI35" i="9"/>
  <c r="CJ35" i="9"/>
  <c r="CK35" i="9"/>
  <c r="CL35" i="9"/>
  <c r="CM35" i="9"/>
  <c r="CN35" i="9"/>
  <c r="CO35" i="9"/>
  <c r="CP35" i="9"/>
  <c r="CQ35" i="9"/>
  <c r="CE36" i="9"/>
  <c r="CF36" i="9"/>
  <c r="CG36" i="9"/>
  <c r="CH36" i="9"/>
  <c r="CI36" i="9"/>
  <c r="CJ36" i="9"/>
  <c r="CK36" i="9"/>
  <c r="CL36" i="9"/>
  <c r="CM36" i="9"/>
  <c r="CN36" i="9"/>
  <c r="CO36" i="9"/>
  <c r="CP36" i="9"/>
  <c r="CQ36" i="9"/>
  <c r="CE37" i="9"/>
  <c r="CF37" i="9"/>
  <c r="CG37" i="9"/>
  <c r="CH37" i="9"/>
  <c r="CI37" i="9"/>
  <c r="CJ37" i="9"/>
  <c r="CK37" i="9"/>
  <c r="CL37" i="9"/>
  <c r="CM37" i="9"/>
  <c r="CN37" i="9"/>
  <c r="CO37" i="9"/>
  <c r="CP37" i="9"/>
  <c r="CQ37" i="9"/>
  <c r="CE38" i="9"/>
  <c r="CF38" i="9"/>
  <c r="CG38" i="9"/>
  <c r="CH38" i="9"/>
  <c r="CI38" i="9"/>
  <c r="CJ38" i="9"/>
  <c r="CK38" i="9"/>
  <c r="CL38" i="9"/>
  <c r="CM38" i="9"/>
  <c r="CN38" i="9"/>
  <c r="CO38" i="9"/>
  <c r="CP38" i="9"/>
  <c r="CQ38" i="9"/>
  <c r="CE39" i="9"/>
  <c r="CF39" i="9"/>
  <c r="CG39" i="9"/>
  <c r="CH39" i="9"/>
  <c r="CI39" i="9"/>
  <c r="CJ39" i="9"/>
  <c r="CK39" i="9"/>
  <c r="CL39" i="9"/>
  <c r="CM39" i="9"/>
  <c r="CN39" i="9"/>
  <c r="CO39" i="9"/>
  <c r="CP39" i="9"/>
  <c r="CQ39" i="9"/>
  <c r="CE40" i="9"/>
  <c r="CF40" i="9"/>
  <c r="CG40" i="9"/>
  <c r="CH40" i="9"/>
  <c r="CI40" i="9"/>
  <c r="CJ40" i="9"/>
  <c r="CK40" i="9"/>
  <c r="CL40" i="9"/>
  <c r="CM40" i="9"/>
  <c r="CN40" i="9"/>
  <c r="CO40" i="9"/>
  <c r="CP40" i="9"/>
  <c r="CQ40" i="9"/>
  <c r="CE41" i="9"/>
  <c r="CF41" i="9"/>
  <c r="CG41" i="9"/>
  <c r="CH41" i="9"/>
  <c r="CI41" i="9"/>
  <c r="CJ41" i="9"/>
  <c r="CK41" i="9"/>
  <c r="CL41" i="9"/>
  <c r="CM41" i="9"/>
  <c r="CN41" i="9"/>
  <c r="CO41" i="9"/>
  <c r="CP41" i="9"/>
  <c r="CQ41" i="9"/>
  <c r="CE42" i="9"/>
  <c r="CF42" i="9"/>
  <c r="CG42" i="9"/>
  <c r="CH42" i="9"/>
  <c r="CI42" i="9"/>
  <c r="CJ42" i="9"/>
  <c r="CK42" i="9"/>
  <c r="CL42" i="9"/>
  <c r="CM42" i="9"/>
  <c r="CN42" i="9"/>
  <c r="CO42" i="9"/>
  <c r="CP42" i="9"/>
  <c r="CQ42" i="9"/>
  <c r="CE43" i="9"/>
  <c r="CF43" i="9"/>
  <c r="CG43" i="9"/>
  <c r="CH43" i="9"/>
  <c r="CI43" i="9"/>
  <c r="CJ43" i="9"/>
  <c r="CK43" i="9"/>
  <c r="CL43" i="9"/>
  <c r="CM43" i="9"/>
  <c r="CN43" i="9"/>
  <c r="CO43" i="9"/>
  <c r="CP43" i="9"/>
  <c r="CQ43" i="9"/>
  <c r="CE44" i="9"/>
  <c r="CF44" i="9"/>
  <c r="CG44" i="9"/>
  <c r="CH44" i="9"/>
  <c r="CI44" i="9"/>
  <c r="CJ44" i="9"/>
  <c r="CK44" i="9"/>
  <c r="CL44" i="9"/>
  <c r="CM44" i="9"/>
  <c r="CN44" i="9"/>
  <c r="CO44" i="9"/>
  <c r="CP44" i="9"/>
  <c r="CQ44" i="9"/>
  <c r="CE45" i="9"/>
  <c r="CF45" i="9"/>
  <c r="CG45" i="9"/>
  <c r="CH45" i="9"/>
  <c r="CI45" i="9"/>
  <c r="CJ45" i="9"/>
  <c r="CK45" i="9"/>
  <c r="CL45" i="9"/>
  <c r="CM45" i="9"/>
  <c r="CN45" i="9"/>
  <c r="CO45" i="9"/>
  <c r="CP45" i="9"/>
  <c r="CQ45" i="9"/>
  <c r="CE46" i="9"/>
  <c r="CF46" i="9"/>
  <c r="CG46" i="9"/>
  <c r="CH46" i="9"/>
  <c r="CI46" i="9"/>
  <c r="CJ46" i="9"/>
  <c r="CK46" i="9"/>
  <c r="CL46" i="9"/>
  <c r="CM46" i="9"/>
  <c r="CN46" i="9"/>
  <c r="CO46" i="9"/>
  <c r="CP46" i="9"/>
  <c r="CQ46" i="9"/>
  <c r="CE47" i="9"/>
  <c r="CF47" i="9"/>
  <c r="CG47" i="9"/>
  <c r="CH47" i="9"/>
  <c r="CI47" i="9"/>
  <c r="CJ47" i="9"/>
  <c r="CK47" i="9"/>
  <c r="CL47" i="9"/>
  <c r="CM47" i="9"/>
  <c r="CN47" i="9"/>
  <c r="CO47" i="9"/>
  <c r="CP47" i="9"/>
  <c r="CQ47" i="9"/>
  <c r="CE48" i="9"/>
  <c r="CF48" i="9"/>
  <c r="CG48" i="9"/>
  <c r="CH48" i="9"/>
  <c r="CI48" i="9"/>
  <c r="CJ48" i="9"/>
  <c r="CK48" i="9"/>
  <c r="CL48" i="9"/>
  <c r="CM48" i="9"/>
  <c r="CN48" i="9"/>
  <c r="CO48" i="9"/>
  <c r="CP48" i="9"/>
  <c r="CQ48" i="9"/>
  <c r="CE49" i="9"/>
  <c r="CF49" i="9"/>
  <c r="CG49" i="9"/>
  <c r="CH49" i="9"/>
  <c r="CI49" i="9"/>
  <c r="CJ49" i="9"/>
  <c r="CK49" i="9"/>
  <c r="CL49" i="9"/>
  <c r="CM49" i="9"/>
  <c r="CN49" i="9"/>
  <c r="CO49" i="9"/>
  <c r="CP49" i="9"/>
  <c r="CQ49" i="9"/>
  <c r="CE50" i="9"/>
  <c r="CF50" i="9"/>
  <c r="CG50" i="9"/>
  <c r="CH50" i="9"/>
  <c r="CI50" i="9"/>
  <c r="CJ50" i="9"/>
  <c r="CK50" i="9"/>
  <c r="CL50" i="9"/>
  <c r="CM50" i="9"/>
  <c r="CN50" i="9"/>
  <c r="CO50" i="9"/>
  <c r="CP50" i="9"/>
  <c r="CQ50" i="9"/>
  <c r="CE51" i="9"/>
  <c r="CF51" i="9"/>
  <c r="CG51" i="9"/>
  <c r="CH51" i="9"/>
  <c r="CI51" i="9"/>
  <c r="CJ51" i="9"/>
  <c r="CK51" i="9"/>
  <c r="CL51" i="9"/>
  <c r="CM51" i="9"/>
  <c r="CN51" i="9"/>
  <c r="CO51" i="9"/>
  <c r="CP51" i="9"/>
  <c r="CQ51" i="9"/>
  <c r="CE52" i="9"/>
  <c r="CF52" i="9"/>
  <c r="CG52" i="9"/>
  <c r="CH52" i="9"/>
  <c r="CI52" i="9"/>
  <c r="CJ52" i="9"/>
  <c r="CK52" i="9"/>
  <c r="CL52" i="9"/>
  <c r="CM52" i="9"/>
  <c r="CN52" i="9"/>
  <c r="CO52" i="9"/>
  <c r="CP52" i="9"/>
  <c r="CQ52" i="9"/>
  <c r="CE53" i="9"/>
  <c r="CF53" i="9"/>
  <c r="CG53" i="9"/>
  <c r="CH53" i="9"/>
  <c r="CI53" i="9"/>
  <c r="CJ53" i="9"/>
  <c r="CK53" i="9"/>
  <c r="CL53" i="9"/>
  <c r="CM53" i="9"/>
  <c r="CN53" i="9"/>
  <c r="CO53" i="9"/>
  <c r="CP53" i="9"/>
  <c r="CQ53" i="9"/>
  <c r="CE54" i="9"/>
  <c r="CF54" i="9"/>
  <c r="CG54" i="9"/>
  <c r="CH54" i="9"/>
  <c r="CI54" i="9"/>
  <c r="CJ54" i="9"/>
  <c r="CK54" i="9"/>
  <c r="CL54" i="9"/>
  <c r="CM54" i="9"/>
  <c r="CN54" i="9"/>
  <c r="CO54" i="9"/>
  <c r="CP54" i="9"/>
  <c r="CQ54" i="9"/>
  <c r="CQ4" i="9"/>
  <c r="CO4" i="9"/>
  <c r="CM4" i="9"/>
  <c r="CK4" i="9"/>
  <c r="CI4" i="9"/>
  <c r="CE4" i="9"/>
  <c r="CG4" i="9"/>
  <c r="B11" i="7"/>
  <c r="E23" i="26"/>
  <c r="E22" i="26"/>
  <c r="E21" i="26"/>
  <c r="E20" i="26"/>
  <c r="E19" i="26"/>
  <c r="E18" i="26"/>
  <c r="E17" i="26"/>
  <c r="B84" i="1"/>
  <c r="B83" i="1"/>
  <c r="B82" i="1"/>
  <c r="B81" i="1"/>
  <c r="B80" i="1"/>
  <c r="B79" i="1"/>
  <c r="B78" i="1"/>
  <c r="B77" i="1"/>
  <c r="BM5" i="13"/>
  <c r="BM6" i="13"/>
  <c r="BM7" i="13"/>
  <c r="BM4" i="13"/>
  <c r="BL5" i="13"/>
  <c r="BL6" i="13"/>
  <c r="BL7" i="13"/>
  <c r="BL4" i="13"/>
  <c r="B22" i="16" l="1"/>
  <c r="B20" i="16"/>
  <c r="B18" i="16"/>
  <c r="B16" i="16"/>
  <c r="B14" i="16"/>
  <c r="B12" i="16"/>
  <c r="B10" i="16"/>
  <c r="B22" i="9"/>
  <c r="B20" i="9"/>
  <c r="B18" i="9"/>
  <c r="B16" i="9"/>
  <c r="B14" i="9"/>
  <c r="B12" i="9"/>
  <c r="B10" i="9"/>
  <c r="G12" i="16"/>
  <c r="F12" i="16"/>
  <c r="H11" i="16"/>
  <c r="G11" i="16"/>
  <c r="F11" i="16"/>
  <c r="H10" i="16"/>
  <c r="G10" i="16"/>
  <c r="F10" i="16"/>
  <c r="H9" i="16"/>
  <c r="G9" i="16"/>
  <c r="F9" i="16"/>
  <c r="H26" i="9"/>
  <c r="G26" i="9"/>
  <c r="F26" i="9"/>
  <c r="H25" i="9"/>
  <c r="G25" i="9"/>
  <c r="F25" i="9"/>
  <c r="H24" i="9"/>
  <c r="G24" i="9"/>
  <c r="F24" i="9"/>
  <c r="B108" i="8"/>
  <c r="B100" i="8"/>
  <c r="B116" i="8"/>
  <c r="B92" i="8"/>
  <c r="B97" i="8"/>
  <c r="B96" i="8"/>
  <c r="B95" i="8"/>
  <c r="B120" i="8"/>
  <c r="B113" i="8"/>
  <c r="B112" i="8"/>
  <c r="B121" i="8"/>
  <c r="B105" i="8"/>
  <c r="B104" i="8"/>
  <c r="B119" i="8"/>
  <c r="B111" i="8"/>
  <c r="B103" i="8"/>
  <c r="B93" i="8"/>
  <c r="B117" i="8"/>
  <c r="B109" i="8"/>
  <c r="B101" i="8"/>
  <c r="D119" i="8"/>
  <c r="D95" i="8"/>
  <c r="D103" i="8"/>
  <c r="D111" i="8"/>
  <c r="D121" i="8"/>
  <c r="D120" i="8"/>
  <c r="D118" i="8"/>
  <c r="D117" i="8"/>
  <c r="D113" i="8"/>
  <c r="D112" i="8"/>
  <c r="D110" i="8"/>
  <c r="D109" i="8"/>
  <c r="D105" i="8"/>
  <c r="D104" i="8"/>
  <c r="D102" i="8"/>
  <c r="D101" i="8"/>
  <c r="D97" i="8"/>
  <c r="D96" i="8"/>
  <c r="D94" i="8"/>
  <c r="D93" i="8"/>
  <c r="B103" i="2"/>
  <c r="B104" i="2"/>
  <c r="B120" i="2"/>
  <c r="B119" i="2"/>
  <c r="B118" i="2"/>
  <c r="B117" i="2"/>
  <c r="B116" i="2"/>
  <c r="B115" i="2"/>
  <c r="B112" i="2"/>
  <c r="B111" i="2"/>
  <c r="B110" i="2"/>
  <c r="B109" i="2"/>
  <c r="B108" i="2"/>
  <c r="B107" i="2"/>
  <c r="B102" i="2"/>
  <c r="B101" i="2"/>
  <c r="B100" i="2"/>
  <c r="B99" i="2"/>
  <c r="D120" i="2"/>
  <c r="D119" i="2"/>
  <c r="E119" i="2" s="1"/>
  <c r="D118" i="2"/>
  <c r="E118" i="2" s="1"/>
  <c r="D117" i="2"/>
  <c r="E117" i="2" s="1"/>
  <c r="D116" i="2"/>
  <c r="D112" i="2"/>
  <c r="D111" i="2"/>
  <c r="D110" i="2"/>
  <c r="D109" i="2"/>
  <c r="D108" i="2"/>
  <c r="D104" i="2"/>
  <c r="D103" i="2"/>
  <c r="D102" i="2"/>
  <c r="E102" i="2" s="1"/>
  <c r="D101" i="2"/>
  <c r="E101" i="2" s="1"/>
  <c r="D100" i="2"/>
  <c r="D96" i="2"/>
  <c r="D95" i="2"/>
  <c r="D94" i="2"/>
  <c r="D93" i="2"/>
  <c r="B96" i="2"/>
  <c r="B95" i="2"/>
  <c r="B94" i="2"/>
  <c r="B93" i="2"/>
  <c r="D92" i="2"/>
  <c r="B92" i="2"/>
  <c r="B91" i="2"/>
  <c r="C12" i="27"/>
  <c r="F78" i="27"/>
  <c r="E78" i="27"/>
  <c r="D78" i="27"/>
  <c r="A78" i="27"/>
  <c r="F77" i="27"/>
  <c r="E77" i="27"/>
  <c r="D77" i="27"/>
  <c r="A77" i="27"/>
  <c r="F76" i="27"/>
  <c r="E76" i="27"/>
  <c r="D76" i="27"/>
  <c r="C76" i="27"/>
  <c r="A76" i="27"/>
  <c r="F75" i="27"/>
  <c r="E75" i="27"/>
  <c r="D75" i="27"/>
  <c r="C75" i="27"/>
  <c r="A75" i="27"/>
  <c r="F74" i="27"/>
  <c r="E74" i="27"/>
  <c r="D74" i="27"/>
  <c r="C74" i="27"/>
  <c r="A74" i="27"/>
  <c r="F73" i="27"/>
  <c r="E73" i="27"/>
  <c r="D73" i="27"/>
  <c r="C73" i="27"/>
  <c r="A73" i="27"/>
  <c r="F72" i="27"/>
  <c r="E72" i="27"/>
  <c r="D72" i="27"/>
  <c r="C72" i="27"/>
  <c r="A72" i="27"/>
  <c r="F71" i="27"/>
  <c r="E71" i="27"/>
  <c r="D71" i="27"/>
  <c r="C71" i="27"/>
  <c r="A71" i="27"/>
  <c r="F70" i="27"/>
  <c r="E70" i="27"/>
  <c r="D70" i="27"/>
  <c r="C70" i="27"/>
  <c r="A70" i="27"/>
  <c r="F69" i="27"/>
  <c r="E69" i="27"/>
  <c r="D69" i="27"/>
  <c r="C69" i="27"/>
  <c r="A69" i="27"/>
  <c r="F68" i="27"/>
  <c r="E68" i="27"/>
  <c r="D68" i="27"/>
  <c r="C68" i="27"/>
  <c r="A68" i="27"/>
  <c r="F67" i="27"/>
  <c r="E67" i="27"/>
  <c r="D67" i="27"/>
  <c r="C67" i="27"/>
  <c r="A67" i="27"/>
  <c r="F66" i="27"/>
  <c r="E66" i="27"/>
  <c r="D66" i="27"/>
  <c r="C66" i="27"/>
  <c r="A66" i="27"/>
  <c r="F65" i="27"/>
  <c r="E65" i="27"/>
  <c r="D65" i="27"/>
  <c r="C65" i="27"/>
  <c r="A65" i="27"/>
  <c r="F64" i="27"/>
  <c r="E64" i="27"/>
  <c r="D64" i="27"/>
  <c r="C64" i="27"/>
  <c r="A64" i="27"/>
  <c r="F63" i="27"/>
  <c r="E63" i="27"/>
  <c r="D63" i="27"/>
  <c r="C63" i="27"/>
  <c r="A63" i="27"/>
  <c r="C62" i="27"/>
  <c r="A62" i="27"/>
  <c r="C61" i="27"/>
  <c r="F53" i="27"/>
  <c r="E53" i="27"/>
  <c r="D53" i="27"/>
  <c r="A53" i="27"/>
  <c r="F52" i="27"/>
  <c r="E52" i="27"/>
  <c r="D52" i="27"/>
  <c r="A52" i="27"/>
  <c r="F51" i="27"/>
  <c r="E51" i="27"/>
  <c r="D51" i="27"/>
  <c r="C51" i="27"/>
  <c r="A51" i="27"/>
  <c r="F50" i="27"/>
  <c r="E50" i="27"/>
  <c r="D50" i="27"/>
  <c r="C50" i="27"/>
  <c r="A50" i="27"/>
  <c r="F49" i="27"/>
  <c r="E49" i="27"/>
  <c r="D49" i="27"/>
  <c r="C49" i="27"/>
  <c r="A49" i="27"/>
  <c r="F48" i="27"/>
  <c r="E48" i="27"/>
  <c r="D48" i="27"/>
  <c r="C48" i="27"/>
  <c r="A48" i="27"/>
  <c r="F47" i="27"/>
  <c r="E47" i="27"/>
  <c r="D47" i="27"/>
  <c r="C47" i="27"/>
  <c r="A47" i="27"/>
  <c r="F46" i="27"/>
  <c r="E46" i="27"/>
  <c r="D46" i="27"/>
  <c r="C46" i="27"/>
  <c r="A46" i="27"/>
  <c r="F45" i="27"/>
  <c r="E45" i="27"/>
  <c r="D45" i="27"/>
  <c r="C45" i="27"/>
  <c r="A45" i="27"/>
  <c r="F44" i="27"/>
  <c r="E44" i="27"/>
  <c r="D44" i="27"/>
  <c r="C44" i="27"/>
  <c r="A44" i="27"/>
  <c r="F43" i="27"/>
  <c r="E43" i="27"/>
  <c r="D43" i="27"/>
  <c r="C43" i="27"/>
  <c r="A43" i="27"/>
  <c r="F42" i="27"/>
  <c r="E42" i="27"/>
  <c r="D42" i="27"/>
  <c r="C42" i="27"/>
  <c r="A42" i="27"/>
  <c r="F41" i="27"/>
  <c r="E41" i="27"/>
  <c r="D41" i="27"/>
  <c r="C41" i="27"/>
  <c r="A41" i="27"/>
  <c r="F40" i="27"/>
  <c r="E40" i="27"/>
  <c r="D40" i="27"/>
  <c r="C40" i="27"/>
  <c r="A40" i="27"/>
  <c r="F39" i="27"/>
  <c r="E39" i="27"/>
  <c r="D39" i="27"/>
  <c r="C39" i="27"/>
  <c r="A39" i="27"/>
  <c r="F38" i="27"/>
  <c r="E38" i="27"/>
  <c r="D38" i="27"/>
  <c r="C38" i="27"/>
  <c r="A38" i="27"/>
  <c r="C37" i="27"/>
  <c r="A37" i="27"/>
  <c r="C36" i="27"/>
  <c r="E119" i="8" l="1"/>
  <c r="E104" i="8"/>
  <c r="E105" i="8"/>
  <c r="E117" i="8"/>
  <c r="E120" i="2"/>
  <c r="E111" i="2"/>
  <c r="E100" i="2"/>
  <c r="E94" i="2"/>
  <c r="E108" i="2"/>
  <c r="E113" i="8"/>
  <c r="E95" i="2"/>
  <c r="E109" i="2"/>
  <c r="E96" i="2"/>
  <c r="E110" i="2"/>
  <c r="E112" i="2"/>
  <c r="E103" i="2"/>
  <c r="E112" i="8"/>
  <c r="E116" i="2"/>
  <c r="E93" i="2"/>
  <c r="E109" i="8"/>
  <c r="E93" i="8"/>
  <c r="I10" i="16"/>
  <c r="B37" i="26" s="1"/>
  <c r="I11" i="16"/>
  <c r="B38" i="26" s="1"/>
  <c r="I25" i="9"/>
  <c r="B36" i="23" s="1"/>
  <c r="I9" i="16"/>
  <c r="B36" i="26" s="1"/>
  <c r="I26" i="9"/>
  <c r="B37" i="23" s="1"/>
  <c r="I24" i="9"/>
  <c r="B35" i="23" s="1"/>
  <c r="E92" i="2"/>
  <c r="E104" i="2"/>
  <c r="E95" i="8"/>
  <c r="E96" i="8"/>
  <c r="E120" i="8"/>
  <c r="E97" i="8"/>
  <c r="E121" i="8"/>
  <c r="E101" i="8"/>
  <c r="E103" i="8"/>
  <c r="E111" i="8"/>
  <c r="F28" i="27" l="1"/>
  <c r="E28" i="27"/>
  <c r="D28" i="27"/>
  <c r="A28" i="27"/>
  <c r="F27" i="27"/>
  <c r="E27" i="27"/>
  <c r="D27" i="27"/>
  <c r="A27" i="27"/>
  <c r="F26" i="27"/>
  <c r="E26" i="27"/>
  <c r="D26" i="27"/>
  <c r="C26" i="27"/>
  <c r="A26" i="27"/>
  <c r="F25" i="27"/>
  <c r="E25" i="27"/>
  <c r="D25" i="27"/>
  <c r="C25" i="27"/>
  <c r="A25" i="27"/>
  <c r="F24" i="27"/>
  <c r="E24" i="27"/>
  <c r="D24" i="27"/>
  <c r="C24" i="27"/>
  <c r="A24" i="27"/>
  <c r="F23" i="27"/>
  <c r="E23" i="27"/>
  <c r="D23" i="27"/>
  <c r="C23" i="27"/>
  <c r="A23" i="27"/>
  <c r="F22" i="27"/>
  <c r="E22" i="27"/>
  <c r="D22" i="27"/>
  <c r="C22" i="27"/>
  <c r="A22" i="27"/>
  <c r="F21" i="27"/>
  <c r="E21" i="27"/>
  <c r="D21" i="27"/>
  <c r="C21" i="27"/>
  <c r="A21" i="27"/>
  <c r="F20" i="27"/>
  <c r="E20" i="27"/>
  <c r="D20" i="27"/>
  <c r="C20" i="27"/>
  <c r="A20" i="27"/>
  <c r="F19" i="27"/>
  <c r="E19" i="27"/>
  <c r="D19" i="27"/>
  <c r="C19" i="27"/>
  <c r="A19" i="27"/>
  <c r="F18" i="27"/>
  <c r="E18" i="27"/>
  <c r="D18" i="27"/>
  <c r="C18" i="27"/>
  <c r="A18" i="27"/>
  <c r="F17" i="27"/>
  <c r="E17" i="27"/>
  <c r="D17" i="27"/>
  <c r="C17" i="27"/>
  <c r="A17" i="27"/>
  <c r="F16" i="27"/>
  <c r="E16" i="27"/>
  <c r="D16" i="27"/>
  <c r="C16" i="27"/>
  <c r="A16" i="27"/>
  <c r="F15" i="27"/>
  <c r="E15" i="27"/>
  <c r="D15" i="27"/>
  <c r="C15" i="27"/>
  <c r="A15" i="27"/>
  <c r="F14" i="27"/>
  <c r="E14" i="27"/>
  <c r="D14" i="27"/>
  <c r="C14" i="27"/>
  <c r="A14" i="27"/>
  <c r="F13" i="27"/>
  <c r="E13" i="27"/>
  <c r="D13" i="27"/>
  <c r="C13" i="27"/>
  <c r="A13" i="27"/>
  <c r="A12" i="27"/>
  <c r="C11" i="27"/>
  <c r="G3" i="27"/>
  <c r="B213" i="26" l="1"/>
  <c r="B138" i="16" s="1"/>
  <c r="B212" i="26"/>
  <c r="B137" i="16" s="1"/>
  <c r="B193" i="26"/>
  <c r="B131" i="16" s="1"/>
  <c r="B77" i="26"/>
  <c r="B125" i="25"/>
  <c r="B80" i="8"/>
  <c r="B81" i="8"/>
  <c r="B82" i="8"/>
  <c r="B83" i="8"/>
  <c r="B84" i="8"/>
  <c r="B79" i="8"/>
  <c r="B82" i="2"/>
  <c r="B83" i="2"/>
  <c r="B84" i="2"/>
  <c r="B85" i="2"/>
  <c r="B86" i="2"/>
  <c r="B81" i="2"/>
  <c r="B101" i="16"/>
  <c r="B102" i="16"/>
  <c r="B103" i="16"/>
  <c r="B104" i="16"/>
  <c r="B105" i="16"/>
  <c r="B106" i="16"/>
  <c r="B100" i="16"/>
  <c r="B102" i="9"/>
  <c r="B103" i="9"/>
  <c r="B104" i="9"/>
  <c r="B105" i="9"/>
  <c r="B106" i="9"/>
  <c r="B107" i="9"/>
  <c r="B101" i="9"/>
  <c r="BF16" i="13"/>
  <c r="BF11" i="13"/>
  <c r="B108" i="16"/>
  <c r="B111" i="16" s="1"/>
  <c r="DG60" i="16" s="1"/>
  <c r="DE59" i="16"/>
  <c r="DE58" i="16"/>
  <c r="DE57" i="16"/>
  <c r="DE56" i="16"/>
  <c r="DE55" i="16"/>
  <c r="DE54" i="16"/>
  <c r="DE53" i="16"/>
  <c r="DE52" i="16"/>
  <c r="DE51" i="16"/>
  <c r="DE50" i="16"/>
  <c r="DE49" i="16"/>
  <c r="DE48" i="16"/>
  <c r="DE47" i="16"/>
  <c r="DE46" i="16"/>
  <c r="DE45" i="16"/>
  <c r="DE44" i="16"/>
  <c r="DE43" i="16"/>
  <c r="DE4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17" i="16"/>
  <c r="DE16" i="16"/>
  <c r="DE15" i="16"/>
  <c r="DE14" i="16"/>
  <c r="DE13" i="16"/>
  <c r="DE12" i="16"/>
  <c r="DE11" i="16"/>
  <c r="DE10" i="16"/>
  <c r="DE9" i="16"/>
  <c r="DE8" i="16"/>
  <c r="DE7" i="16"/>
  <c r="DE6" i="16"/>
  <c r="DE5" i="16"/>
  <c r="DE4" i="16"/>
  <c r="Y14" i="13"/>
  <c r="Y15" i="13"/>
  <c r="Y13" i="13"/>
  <c r="B159" i="9"/>
  <c r="B216" i="23"/>
  <c r="B158" i="9" s="1"/>
  <c r="B215" i="23"/>
  <c r="B157" i="9" s="1"/>
  <c r="B193" i="23"/>
  <c r="B145" i="9" s="1"/>
  <c r="D131" i="16" l="1"/>
  <c r="B168" i="26"/>
  <c r="DI29" i="16"/>
  <c r="DI9" i="16"/>
  <c r="DI25" i="16"/>
  <c r="DI23" i="16"/>
  <c r="DG6" i="16"/>
  <c r="DI17" i="16"/>
  <c r="DI55" i="16"/>
  <c r="DI54" i="16"/>
  <c r="DI46" i="16"/>
  <c r="DG44" i="16"/>
  <c r="DI41" i="16"/>
  <c r="DI31" i="16"/>
  <c r="DG32" i="16"/>
  <c r="DG46" i="16"/>
  <c r="DG37" i="16"/>
  <c r="DG45" i="16"/>
  <c r="DG36" i="16"/>
  <c r="DG26" i="16"/>
  <c r="DG8" i="16"/>
  <c r="DG13" i="16"/>
  <c r="DG18" i="16"/>
  <c r="DG29" i="16"/>
  <c r="DG34" i="16"/>
  <c r="DG5" i="16"/>
  <c r="DG17" i="16"/>
  <c r="DG41" i="16"/>
  <c r="DG53" i="16"/>
  <c r="DG25" i="16"/>
  <c r="DG54" i="16"/>
  <c r="DG16" i="16"/>
  <c r="DG40" i="16"/>
  <c r="DG52" i="16"/>
  <c r="DG14" i="16"/>
  <c r="DG4" i="16"/>
  <c r="DG50" i="16"/>
  <c r="DG21" i="16"/>
  <c r="DG12" i="16"/>
  <c r="DG58" i="16"/>
  <c r="DG49" i="16"/>
  <c r="DG30" i="16"/>
  <c r="DG22" i="16"/>
  <c r="DG57" i="16"/>
  <c r="DG48" i="16"/>
  <c r="DG38" i="16"/>
  <c r="DG28" i="16"/>
  <c r="DG20" i="16"/>
  <c r="DG9" i="16"/>
  <c r="DI57" i="16"/>
  <c r="DI18" i="16"/>
  <c r="DI33" i="16"/>
  <c r="DI47" i="16"/>
  <c r="DI5" i="16"/>
  <c r="DI21" i="16"/>
  <c r="DI34" i="16"/>
  <c r="DI49" i="16"/>
  <c r="DI6" i="16"/>
  <c r="DI22" i="16"/>
  <c r="DI37" i="16"/>
  <c r="DI50" i="16"/>
  <c r="DI15" i="16"/>
  <c r="DI30" i="16"/>
  <c r="DI45" i="16"/>
  <c r="DI58" i="16"/>
  <c r="DI42" i="16"/>
  <c r="DI13" i="16"/>
  <c r="DI38" i="16"/>
  <c r="DI7" i="16"/>
  <c r="DG7" i="16"/>
  <c r="DG11" i="16"/>
  <c r="DG15" i="16"/>
  <c r="DG19" i="16"/>
  <c r="DG23" i="16"/>
  <c r="DG27" i="16"/>
  <c r="DG31" i="16"/>
  <c r="DG35" i="16"/>
  <c r="DG39" i="16"/>
  <c r="DG43" i="16"/>
  <c r="DG47" i="16"/>
  <c r="DG51" i="16"/>
  <c r="DG55" i="16"/>
  <c r="DG59" i="16"/>
  <c r="DG56" i="16"/>
  <c r="DG42" i="16"/>
  <c r="DG33" i="16"/>
  <c r="DG24" i="16"/>
  <c r="DG10" i="16"/>
  <c r="DI8" i="16"/>
  <c r="DI16" i="16"/>
  <c r="DI24" i="16"/>
  <c r="DI32" i="16"/>
  <c r="DI40" i="16"/>
  <c r="DI48" i="16"/>
  <c r="DI56" i="16"/>
  <c r="DI10" i="16"/>
  <c r="DI11" i="16"/>
  <c r="DI19" i="16"/>
  <c r="DI27" i="16"/>
  <c r="DI35" i="16"/>
  <c r="DI43" i="16"/>
  <c r="DI51" i="16"/>
  <c r="DI59" i="16"/>
  <c r="DI12" i="16"/>
  <c r="DI20" i="16"/>
  <c r="DI28" i="16"/>
  <c r="DI36" i="16"/>
  <c r="DI44" i="16"/>
  <c r="DI52" i="16"/>
  <c r="DI4" i="16"/>
  <c r="DI53" i="16"/>
  <c r="DI39" i="16"/>
  <c r="DI26" i="16"/>
  <c r="DI14" i="16"/>
  <c r="DM28" i="16" l="1"/>
  <c r="DM29" i="16"/>
  <c r="DM32" i="16"/>
  <c r="DM31" i="16"/>
  <c r="DM54" i="16"/>
  <c r="DM9" i="16"/>
  <c r="DM45" i="16"/>
  <c r="DM34" i="16"/>
  <c r="DM41" i="16"/>
  <c r="DM22" i="16"/>
  <c r="DM39" i="16"/>
  <c r="DM12" i="16"/>
  <c r="DM25" i="16"/>
  <c r="DM50" i="16"/>
  <c r="DM44" i="16"/>
  <c r="DM14" i="16"/>
  <c r="DM7" i="16"/>
  <c r="DM13" i="16"/>
  <c r="DM18" i="16"/>
  <c r="DM17" i="16"/>
  <c r="DM43" i="16"/>
  <c r="DM6" i="16"/>
  <c r="DM19" i="16"/>
  <c r="DM58" i="16"/>
  <c r="DM36" i="16"/>
  <c r="DM27" i="16"/>
  <c r="DM24" i="16"/>
  <c r="DM38" i="16"/>
  <c r="DM42" i="16"/>
  <c r="DM53" i="16"/>
  <c r="DM59" i="16"/>
  <c r="DM15" i="16"/>
  <c r="DM5" i="16"/>
  <c r="DM26" i="16"/>
  <c r="DM30" i="16"/>
  <c r="DM4" i="16"/>
  <c r="DM48" i="16"/>
  <c r="DM52" i="16"/>
  <c r="DM40" i="16"/>
  <c r="DM21" i="16"/>
  <c r="DM51" i="16"/>
  <c r="DM37" i="16"/>
  <c r="DM35" i="16"/>
  <c r="DM8" i="16"/>
  <c r="DM11" i="16"/>
  <c r="DM49" i="16"/>
  <c r="DM47" i="16"/>
  <c r="DM57" i="16"/>
  <c r="DM16" i="16"/>
  <c r="DM20" i="16"/>
  <c r="DM10" i="16"/>
  <c r="DM56" i="16"/>
  <c r="DM33" i="16"/>
  <c r="DM55" i="16"/>
  <c r="DM23" i="16"/>
  <c r="DM46" i="16"/>
  <c r="W15" i="13" l="1"/>
  <c r="W14" i="13"/>
  <c r="W13" i="13"/>
  <c r="V15" i="13"/>
  <c r="V14" i="13"/>
  <c r="V13" i="13"/>
  <c r="B175" i="26" l="1"/>
  <c r="B174" i="26"/>
  <c r="B67" i="26"/>
  <c r="B84" i="16"/>
  <c r="B201" i="26"/>
  <c r="B203" i="26" s="1"/>
  <c r="B65" i="26" l="1"/>
  <c r="B194" i="26"/>
  <c r="B130" i="16" s="1"/>
  <c r="B132" i="16"/>
  <c r="B83" i="16"/>
  <c r="B109" i="16" s="1"/>
  <c r="B110" i="16" s="1"/>
  <c r="DF60" i="16" s="1"/>
  <c r="B116" i="16" s="1"/>
  <c r="B119" i="9"/>
  <c r="D130" i="16" l="1"/>
  <c r="DJ4" i="16"/>
  <c r="D119" i="9"/>
  <c r="DF26" i="16"/>
  <c r="DF35" i="16"/>
  <c r="DF54" i="16"/>
  <c r="DF16" i="16"/>
  <c r="DF24" i="16"/>
  <c r="DF37" i="16"/>
  <c r="DF34" i="16"/>
  <c r="DF44" i="16"/>
  <c r="DF6" i="16"/>
  <c r="DF17" i="16"/>
  <c r="DF23" i="16"/>
  <c r="DF30" i="16"/>
  <c r="DF10" i="16"/>
  <c r="DF14" i="16"/>
  <c r="DF8" i="16"/>
  <c r="DF12" i="16"/>
  <c r="DF59" i="16"/>
  <c r="DF43" i="16"/>
  <c r="DF25" i="16"/>
  <c r="DF38" i="16"/>
  <c r="DF40" i="16"/>
  <c r="DF7" i="16"/>
  <c r="DF41" i="16"/>
  <c r="DF29" i="16"/>
  <c r="DF58" i="16"/>
  <c r="DF39" i="16"/>
  <c r="B124" i="16"/>
  <c r="B187" i="26" s="1"/>
  <c r="DF50" i="16"/>
  <c r="DF19" i="16"/>
  <c r="DF57" i="16"/>
  <c r="DF49" i="16"/>
  <c r="DF46" i="16"/>
  <c r="DF5" i="16"/>
  <c r="DF42" i="16"/>
  <c r="DF51" i="16"/>
  <c r="DF45" i="16"/>
  <c r="DF13" i="16"/>
  <c r="DF32" i="16"/>
  <c r="DF27" i="16"/>
  <c r="DF36" i="16"/>
  <c r="DF53" i="16"/>
  <c r="DF20" i="16"/>
  <c r="DF18" i="16"/>
  <c r="DF55" i="16"/>
  <c r="DF22" i="16"/>
  <c r="DF33" i="16"/>
  <c r="DF21" i="16"/>
  <c r="DF52" i="16"/>
  <c r="DF15" i="16"/>
  <c r="DF9" i="16"/>
  <c r="DF56" i="16"/>
  <c r="DF4" i="16"/>
  <c r="DF48" i="16"/>
  <c r="DF31" i="16"/>
  <c r="DF28" i="16"/>
  <c r="DF11" i="16"/>
  <c r="DF47" i="16"/>
  <c r="DK25" i="16"/>
  <c r="DO25" i="16" s="1"/>
  <c r="DK53" i="16"/>
  <c r="DO53" i="16" s="1"/>
  <c r="DJ18" i="16"/>
  <c r="DJ42" i="16"/>
  <c r="DK8" i="16"/>
  <c r="DO8" i="16" s="1"/>
  <c r="DK37" i="16"/>
  <c r="DO37" i="16" s="1"/>
  <c r="DK4" i="16"/>
  <c r="DO4" i="16" s="1"/>
  <c r="DJ26" i="16"/>
  <c r="DJ50" i="16"/>
  <c r="DK28" i="16"/>
  <c r="DO28" i="16" s="1"/>
  <c r="DK56" i="16"/>
  <c r="DO56" i="16" s="1"/>
  <c r="DJ22" i="16"/>
  <c r="DJ43" i="16"/>
  <c r="DK38" i="16"/>
  <c r="DO38" i="16" s="1"/>
  <c r="DJ28" i="16"/>
  <c r="DK6" i="16"/>
  <c r="DO6" i="16" s="1"/>
  <c r="DK33" i="16"/>
  <c r="DO33" i="16" s="1"/>
  <c r="DK57" i="16"/>
  <c r="DO57" i="16" s="1"/>
  <c r="DJ25" i="16"/>
  <c r="DJ45" i="16"/>
  <c r="DK11" i="16"/>
  <c r="DO11" i="16" s="1"/>
  <c r="DJ8" i="16"/>
  <c r="DJ53" i="16"/>
  <c r="DK19" i="16"/>
  <c r="DO19" i="16" s="1"/>
  <c r="DK45" i="16"/>
  <c r="DO45" i="16" s="1"/>
  <c r="DJ13" i="16"/>
  <c r="DJ35" i="16"/>
  <c r="DJ56" i="16"/>
  <c r="DK21" i="16"/>
  <c r="DO21" i="16" s="1"/>
  <c r="DK49" i="16"/>
  <c r="DO49" i="16" s="1"/>
  <c r="DJ14" i="16"/>
  <c r="DJ38" i="16"/>
  <c r="DK17" i="16"/>
  <c r="DO17" i="16" s="1"/>
  <c r="DJ11" i="16"/>
  <c r="DJ33" i="16"/>
  <c r="DK40" i="16"/>
  <c r="DO40" i="16" s="1"/>
  <c r="DJ54" i="16"/>
  <c r="DJ44" i="16"/>
  <c r="DK23" i="16"/>
  <c r="DO23" i="16" s="1"/>
  <c r="DJ31" i="16"/>
  <c r="DK50" i="16"/>
  <c r="DO50" i="16" s="1"/>
  <c r="DK12" i="16"/>
  <c r="DO12" i="16" s="1"/>
  <c r="DJ41" i="16"/>
  <c r="DK20" i="16"/>
  <c r="DO20" i="16" s="1"/>
  <c r="DJ48" i="16"/>
  <c r="DK14" i="16"/>
  <c r="DO14" i="16" s="1"/>
  <c r="DK27" i="16"/>
  <c r="DO27" i="16" s="1"/>
  <c r="DJ32" i="16"/>
  <c r="DJ52" i="16"/>
  <c r="DK31" i="16"/>
  <c r="DO31" i="16" s="1"/>
  <c r="DJ39" i="16"/>
  <c r="DK59" i="16"/>
  <c r="DO59" i="16" s="1"/>
  <c r="DK24" i="16"/>
  <c r="DO24" i="16" s="1"/>
  <c r="DJ51" i="16"/>
  <c r="DK30" i="16"/>
  <c r="DO30" i="16" s="1"/>
  <c r="DJ59" i="16"/>
  <c r="DK58" i="16"/>
  <c r="DO58" i="16" s="1"/>
  <c r="DK47" i="16"/>
  <c r="DO47" i="16" s="1"/>
  <c r="DJ55" i="16"/>
  <c r="DJ21" i="16"/>
  <c r="DK16" i="16"/>
  <c r="DO16" i="16" s="1"/>
  <c r="DJ34" i="16"/>
  <c r="DK43" i="16"/>
  <c r="DO43" i="16" s="1"/>
  <c r="DJ10" i="16"/>
  <c r="DJ30" i="16"/>
  <c r="DK26" i="16"/>
  <c r="DO26" i="16" s="1"/>
  <c r="DJ20" i="16"/>
  <c r="DK51" i="16"/>
  <c r="DO51" i="16" s="1"/>
  <c r="DK22" i="16"/>
  <c r="DO22" i="16" s="1"/>
  <c r="DJ9" i="16"/>
  <c r="DJ5" i="16"/>
  <c r="DJ16" i="16"/>
  <c r="DJ36" i="16"/>
  <c r="DK39" i="16"/>
  <c r="DO39" i="16" s="1"/>
  <c r="DJ47" i="16"/>
  <c r="DJ12" i="16"/>
  <c r="DK34" i="16"/>
  <c r="DO34" i="16" s="1"/>
  <c r="DK5" i="16"/>
  <c r="DO5" i="16" s="1"/>
  <c r="DK42" i="16"/>
  <c r="DO42" i="16" s="1"/>
  <c r="DJ46" i="16"/>
  <c r="DJ24" i="16"/>
  <c r="DK44" i="16"/>
  <c r="DO44" i="16" s="1"/>
  <c r="DK52" i="16"/>
  <c r="DO52" i="16" s="1"/>
  <c r="DK55" i="16"/>
  <c r="DO55" i="16" s="1"/>
  <c r="DK13" i="16"/>
  <c r="DO13" i="16" s="1"/>
  <c r="DK54" i="16"/>
  <c r="DO54" i="16" s="1"/>
  <c r="DJ6" i="16"/>
  <c r="DK9" i="16"/>
  <c r="DO9" i="16" s="1"/>
  <c r="DK35" i="16"/>
  <c r="DO35" i="16" s="1"/>
  <c r="DK7" i="16"/>
  <c r="DO7" i="16" s="1"/>
  <c r="DJ15" i="16"/>
  <c r="DK32" i="16"/>
  <c r="DO32" i="16" s="1"/>
  <c r="DJ49" i="16"/>
  <c r="DJ19" i="16"/>
  <c r="DK46" i="16"/>
  <c r="DO46" i="16" s="1"/>
  <c r="DJ27" i="16"/>
  <c r="DK48" i="16"/>
  <c r="DO48" i="16" s="1"/>
  <c r="DJ57" i="16"/>
  <c r="DK15" i="16"/>
  <c r="DO15" i="16" s="1"/>
  <c r="DJ23" i="16"/>
  <c r="DK41" i="16"/>
  <c r="DO41" i="16" s="1"/>
  <c r="DJ58" i="16"/>
  <c r="DJ29" i="16"/>
  <c r="DK10" i="16"/>
  <c r="DO10" i="16" s="1"/>
  <c r="DJ37" i="16"/>
  <c r="DK29" i="16"/>
  <c r="DO29" i="16" s="1"/>
  <c r="DK18" i="16"/>
  <c r="DO18" i="16" s="1"/>
  <c r="DJ7" i="16"/>
  <c r="DJ40" i="16"/>
  <c r="DK36" i="16"/>
  <c r="DO36" i="16" s="1"/>
  <c r="DJ17" i="16"/>
  <c r="BG14" i="13"/>
  <c r="BG15" i="13"/>
  <c r="BG13" i="13"/>
  <c r="Y9" i="13"/>
  <c r="BG9" i="13" s="1"/>
  <c r="Y10" i="13"/>
  <c r="Y8" i="13"/>
  <c r="BG8" i="13" s="1"/>
  <c r="BG11" i="13"/>
  <c r="BG16" i="13"/>
  <c r="BG10" i="13" l="1"/>
  <c r="B82" i="9"/>
  <c r="DN4" i="16"/>
  <c r="DN50" i="16"/>
  <c r="DN38" i="16"/>
  <c r="DN30" i="16"/>
  <c r="DN48" i="16"/>
  <c r="DN13" i="16"/>
  <c r="DN10" i="16"/>
  <c r="DN24" i="16"/>
  <c r="DN40" i="16"/>
  <c r="DN52" i="16"/>
  <c r="DN31" i="16"/>
  <c r="DN33" i="16"/>
  <c r="DN32" i="16"/>
  <c r="DN57" i="16"/>
  <c r="DN14" i="16"/>
  <c r="DN37" i="16"/>
  <c r="DN36" i="16"/>
  <c r="DN46" i="16"/>
  <c r="DN7" i="16"/>
  <c r="DN11" i="16"/>
  <c r="DN29" i="16"/>
  <c r="DN12" i="16"/>
  <c r="DN44" i="16"/>
  <c r="DN28" i="16"/>
  <c r="DN21" i="16"/>
  <c r="DN27" i="16"/>
  <c r="DN49" i="16"/>
  <c r="DN41" i="16"/>
  <c r="DN8" i="16"/>
  <c r="DN34" i="16"/>
  <c r="DN55" i="16"/>
  <c r="DN45" i="16"/>
  <c r="DN16" i="16"/>
  <c r="DN56" i="16"/>
  <c r="DN18" i="16"/>
  <c r="DN51" i="16"/>
  <c r="B136" i="16"/>
  <c r="DN25" i="16"/>
  <c r="DN23" i="16"/>
  <c r="DN54" i="16"/>
  <c r="DN19" i="16"/>
  <c r="DN9" i="16"/>
  <c r="DN20" i="16"/>
  <c r="DN42" i="16"/>
  <c r="DN39" i="16"/>
  <c r="DN43" i="16"/>
  <c r="DN17" i="16"/>
  <c r="DN35" i="16"/>
  <c r="DN22" i="16"/>
  <c r="DN47" i="16"/>
  <c r="DN15" i="16"/>
  <c r="DN53" i="16"/>
  <c r="DN5" i="16"/>
  <c r="DN58" i="16"/>
  <c r="DN59" i="16"/>
  <c r="DN6" i="16"/>
  <c r="DN26" i="16"/>
  <c r="DB5" i="9"/>
  <c r="DB6" i="9"/>
  <c r="DB7" i="9"/>
  <c r="DB8" i="9"/>
  <c r="DB9" i="9"/>
  <c r="DB10" i="9"/>
  <c r="DB11" i="9"/>
  <c r="DB12" i="9"/>
  <c r="DB13" i="9"/>
  <c r="DB14" i="9"/>
  <c r="DB15" i="9"/>
  <c r="DB16" i="9"/>
  <c r="DB17" i="9"/>
  <c r="DB18" i="9"/>
  <c r="DB19" i="9"/>
  <c r="DB20" i="9"/>
  <c r="DB21" i="9"/>
  <c r="DB22" i="9"/>
  <c r="DB23" i="9"/>
  <c r="DB24" i="9"/>
  <c r="DB25" i="9"/>
  <c r="DB26" i="9"/>
  <c r="DB27" i="9"/>
  <c r="DB28" i="9"/>
  <c r="DB29" i="9"/>
  <c r="DB30" i="9"/>
  <c r="DB31" i="9"/>
  <c r="DB32" i="9"/>
  <c r="DB33" i="9"/>
  <c r="DB34" i="9"/>
  <c r="DB35" i="9"/>
  <c r="DB36" i="9"/>
  <c r="DB37" i="9"/>
  <c r="DB38" i="9"/>
  <c r="DB39" i="9"/>
  <c r="DB40" i="9"/>
  <c r="DB41" i="9"/>
  <c r="DB42" i="9"/>
  <c r="DB43" i="9"/>
  <c r="DB44" i="9"/>
  <c r="DB45" i="9"/>
  <c r="DB46" i="9"/>
  <c r="DB47" i="9"/>
  <c r="DB48" i="9"/>
  <c r="DB49" i="9"/>
  <c r="DB50" i="9"/>
  <c r="DB51" i="9"/>
  <c r="DB52" i="9"/>
  <c r="DB53" i="9"/>
  <c r="DB54" i="9"/>
  <c r="DB55" i="9"/>
  <c r="DB56" i="9"/>
  <c r="DB57" i="9"/>
  <c r="DB58" i="9"/>
  <c r="DB59" i="9"/>
  <c r="DB4" i="9"/>
  <c r="DK58" i="9" l="1"/>
  <c r="DL58" i="9"/>
  <c r="DK26" i="9"/>
  <c r="DL26" i="9"/>
  <c r="DK57" i="9"/>
  <c r="DL57" i="9"/>
  <c r="DL33" i="9"/>
  <c r="DK33" i="9"/>
  <c r="DL9" i="9"/>
  <c r="DK9" i="9"/>
  <c r="DL56" i="9"/>
  <c r="DK56" i="9"/>
  <c r="DL48" i="9"/>
  <c r="DK48" i="9"/>
  <c r="DL40" i="9"/>
  <c r="DK40" i="9"/>
  <c r="DK32" i="9"/>
  <c r="DL32" i="9"/>
  <c r="DL24" i="9"/>
  <c r="DK24" i="9"/>
  <c r="DL16" i="9"/>
  <c r="DK16" i="9"/>
  <c r="DK8" i="9"/>
  <c r="DL8" i="9"/>
  <c r="DL42" i="9"/>
  <c r="DK42" i="9"/>
  <c r="DK10" i="9"/>
  <c r="DL10" i="9"/>
  <c r="DK49" i="9"/>
  <c r="DL49" i="9"/>
  <c r="DK25" i="9"/>
  <c r="DL25" i="9"/>
  <c r="DL55" i="9"/>
  <c r="DK55" i="9"/>
  <c r="DK39" i="9"/>
  <c r="DL39" i="9"/>
  <c r="DL15" i="9"/>
  <c r="DK15" i="9"/>
  <c r="DL46" i="9"/>
  <c r="DK46" i="9"/>
  <c r="DK30" i="9"/>
  <c r="DL30" i="9"/>
  <c r="DK22" i="9"/>
  <c r="DL22" i="9"/>
  <c r="DL14" i="9"/>
  <c r="DK14" i="9"/>
  <c r="DK6" i="9"/>
  <c r="DL6" i="9"/>
  <c r="DK50" i="9"/>
  <c r="DL50" i="9"/>
  <c r="DK18" i="9"/>
  <c r="DL18" i="9"/>
  <c r="DK41" i="9"/>
  <c r="DL41" i="9"/>
  <c r="DK17" i="9"/>
  <c r="DL17" i="9"/>
  <c r="DK47" i="9"/>
  <c r="DL47" i="9"/>
  <c r="DK31" i="9"/>
  <c r="DL31" i="9"/>
  <c r="DK23" i="9"/>
  <c r="DL23" i="9"/>
  <c r="DK7" i="9"/>
  <c r="DL7" i="9"/>
  <c r="DK54" i="9"/>
  <c r="DL54" i="9"/>
  <c r="DL38" i="9"/>
  <c r="DK38" i="9"/>
  <c r="DL53" i="9"/>
  <c r="DK53" i="9"/>
  <c r="DL45" i="9"/>
  <c r="DK45" i="9"/>
  <c r="DL37" i="9"/>
  <c r="DK37" i="9"/>
  <c r="DL29" i="9"/>
  <c r="DK29" i="9"/>
  <c r="DL21" i="9"/>
  <c r="DK21" i="9"/>
  <c r="DK13" i="9"/>
  <c r="DL13" i="9"/>
  <c r="DK5" i="9"/>
  <c r="DL5" i="9"/>
  <c r="DL34" i="9"/>
  <c r="DK34" i="9"/>
  <c r="DL4" i="9"/>
  <c r="DK4" i="9"/>
  <c r="DJ4" i="9"/>
  <c r="DK52" i="9"/>
  <c r="DL52" i="9"/>
  <c r="DK44" i="9"/>
  <c r="DL44" i="9"/>
  <c r="DL36" i="9"/>
  <c r="DK36" i="9"/>
  <c r="DK28" i="9"/>
  <c r="DL28" i="9"/>
  <c r="DK20" i="9"/>
  <c r="DL20" i="9"/>
  <c r="DK12" i="9"/>
  <c r="DL12" i="9"/>
  <c r="DL59" i="9"/>
  <c r="DK59" i="9"/>
  <c r="DK51" i="9"/>
  <c r="DL51" i="9"/>
  <c r="DL43" i="9"/>
  <c r="DK43" i="9"/>
  <c r="DK35" i="9"/>
  <c r="DL35" i="9"/>
  <c r="DL27" i="9"/>
  <c r="DK27" i="9"/>
  <c r="DL19" i="9"/>
  <c r="DK19" i="9"/>
  <c r="DL11" i="9"/>
  <c r="DK11" i="9"/>
  <c r="DJ58" i="9"/>
  <c r="DI58" i="9"/>
  <c r="DJ34" i="9"/>
  <c r="DI34" i="9"/>
  <c r="DJ10" i="9"/>
  <c r="DI10" i="9"/>
  <c r="DJ41" i="9"/>
  <c r="DI41" i="9"/>
  <c r="DJ9" i="9"/>
  <c r="DI9" i="9"/>
  <c r="DI56" i="9"/>
  <c r="DJ56" i="9"/>
  <c r="DI32" i="9"/>
  <c r="DJ32" i="9"/>
  <c r="DI16" i="9"/>
  <c r="DJ16" i="9"/>
  <c r="DJ55" i="9"/>
  <c r="DI55" i="9"/>
  <c r="DI53" i="9"/>
  <c r="DJ53" i="9"/>
  <c r="DJ37" i="9"/>
  <c r="DI37" i="9"/>
  <c r="DJ21" i="9"/>
  <c r="DI21" i="9"/>
  <c r="DJ59" i="9"/>
  <c r="DI59" i="9"/>
  <c r="DJ51" i="9"/>
  <c r="DI51" i="9"/>
  <c r="DJ43" i="9"/>
  <c r="DI43" i="9"/>
  <c r="DJ35" i="9"/>
  <c r="DI35" i="9"/>
  <c r="DI27" i="9"/>
  <c r="DJ27" i="9"/>
  <c r="DI19" i="9"/>
  <c r="DJ19" i="9"/>
  <c r="DI11" i="9"/>
  <c r="DJ11" i="9"/>
  <c r="DI42" i="9"/>
  <c r="DJ42" i="9"/>
  <c r="DI18" i="9"/>
  <c r="DJ18" i="9"/>
  <c r="DI57" i="9"/>
  <c r="DJ57" i="9"/>
  <c r="DI33" i="9"/>
  <c r="DJ33" i="9"/>
  <c r="DI17" i="9"/>
  <c r="DJ17" i="9"/>
  <c r="DJ40" i="9"/>
  <c r="DI40" i="9"/>
  <c r="DJ8" i="9"/>
  <c r="DI8" i="9"/>
  <c r="DI47" i="9"/>
  <c r="DJ47" i="9"/>
  <c r="DJ39" i="9"/>
  <c r="DI39" i="9"/>
  <c r="DI31" i="9"/>
  <c r="DJ31" i="9"/>
  <c r="DI23" i="9"/>
  <c r="DJ23" i="9"/>
  <c r="DI15" i="9"/>
  <c r="DJ15" i="9"/>
  <c r="DI7" i="9"/>
  <c r="DJ7" i="9"/>
  <c r="DI54" i="9"/>
  <c r="DJ54" i="9"/>
  <c r="DJ46" i="9"/>
  <c r="DI46" i="9"/>
  <c r="DJ38" i="9"/>
  <c r="DI38" i="9"/>
  <c r="DI30" i="9"/>
  <c r="DJ30" i="9"/>
  <c r="DI22" i="9"/>
  <c r="DJ22" i="9"/>
  <c r="DI14" i="9"/>
  <c r="DJ14" i="9"/>
  <c r="DI6" i="9"/>
  <c r="DJ6" i="9"/>
  <c r="DI50" i="9"/>
  <c r="DJ50" i="9"/>
  <c r="DI26" i="9"/>
  <c r="DJ26" i="9"/>
  <c r="DI49" i="9"/>
  <c r="DJ49" i="9"/>
  <c r="DI25" i="9"/>
  <c r="DJ25" i="9"/>
  <c r="DJ48" i="9"/>
  <c r="DI48" i="9"/>
  <c r="DI24" i="9"/>
  <c r="DJ24" i="9"/>
  <c r="DJ45" i="9"/>
  <c r="DI45" i="9"/>
  <c r="DI29" i="9"/>
  <c r="DJ29" i="9"/>
  <c r="DI13" i="9"/>
  <c r="DJ13" i="9"/>
  <c r="DJ5" i="9"/>
  <c r="DI5" i="9"/>
  <c r="DI4" i="9"/>
  <c r="DJ52" i="9"/>
  <c r="DI52" i="9"/>
  <c r="DI44" i="9"/>
  <c r="DJ44" i="9"/>
  <c r="DI36" i="9"/>
  <c r="DJ36" i="9"/>
  <c r="DI28" i="9"/>
  <c r="DJ28" i="9"/>
  <c r="DI20" i="9"/>
  <c r="DJ20" i="9"/>
  <c r="DJ12" i="9"/>
  <c r="DI12" i="9"/>
  <c r="B206" i="26"/>
  <c r="B208" i="26" s="1"/>
  <c r="B210" i="26" s="1"/>
  <c r="DH5" i="16"/>
  <c r="DL5" i="16" s="1"/>
  <c r="DH45" i="16"/>
  <c r="DL45" i="16" s="1"/>
  <c r="DH49" i="16"/>
  <c r="DL49" i="16" s="1"/>
  <c r="DH57" i="16"/>
  <c r="DL57" i="16" s="1"/>
  <c r="DH14" i="16"/>
  <c r="DL14" i="16" s="1"/>
  <c r="DH53" i="16"/>
  <c r="DL53" i="16" s="1"/>
  <c r="DH29" i="16"/>
  <c r="DL29" i="16" s="1"/>
  <c r="DH33" i="16"/>
  <c r="DL33" i="16" s="1"/>
  <c r="DH41" i="16"/>
  <c r="DL41" i="16" s="1"/>
  <c r="DH18" i="16"/>
  <c r="DL18" i="16" s="1"/>
  <c r="DH26" i="16"/>
  <c r="DL26" i="16" s="1"/>
  <c r="DH30" i="16"/>
  <c r="DL30" i="16" s="1"/>
  <c r="DH10" i="16"/>
  <c r="DL10" i="16" s="1"/>
  <c r="DH17" i="16"/>
  <c r="DL17" i="16" s="1"/>
  <c r="DH11" i="16"/>
  <c r="DL11" i="16" s="1"/>
  <c r="DH28" i="16"/>
  <c r="DL28" i="16" s="1"/>
  <c r="DH9" i="16"/>
  <c r="DL9" i="16" s="1"/>
  <c r="DH23" i="16"/>
  <c r="DL23" i="16" s="1"/>
  <c r="DH32" i="16"/>
  <c r="DL32" i="16" s="1"/>
  <c r="DH40" i="16"/>
  <c r="DL40" i="16" s="1"/>
  <c r="DH25" i="16"/>
  <c r="DL25" i="16" s="1"/>
  <c r="DH31" i="16"/>
  <c r="DL31" i="16" s="1"/>
  <c r="DH58" i="16"/>
  <c r="DL58" i="16" s="1"/>
  <c r="DH8" i="16"/>
  <c r="DL8" i="16" s="1"/>
  <c r="DH19" i="16"/>
  <c r="DL19" i="16" s="1"/>
  <c r="DH36" i="16"/>
  <c r="DL36" i="16" s="1"/>
  <c r="DH54" i="16"/>
  <c r="DL54" i="16" s="1"/>
  <c r="DH52" i="16"/>
  <c r="DL52" i="16" s="1"/>
  <c r="DH37" i="16"/>
  <c r="DL37" i="16" s="1"/>
  <c r="DH15" i="16"/>
  <c r="DL15" i="16" s="1"/>
  <c r="DH43" i="16"/>
  <c r="DL43" i="16" s="1"/>
  <c r="DH6" i="16"/>
  <c r="DL6" i="16" s="1"/>
  <c r="DH7" i="16"/>
  <c r="DL7" i="16" s="1"/>
  <c r="DH39" i="16"/>
  <c r="DL39" i="16" s="1"/>
  <c r="DH46" i="16"/>
  <c r="DL46" i="16" s="1"/>
  <c r="DH38" i="16"/>
  <c r="DL38" i="16" s="1"/>
  <c r="DH16" i="16"/>
  <c r="DL16" i="16" s="1"/>
  <c r="DH27" i="16"/>
  <c r="DL27" i="16" s="1"/>
  <c r="DH44" i="16"/>
  <c r="DL44" i="16" s="1"/>
  <c r="DH21" i="16"/>
  <c r="DL21" i="16" s="1"/>
  <c r="DH42" i="16"/>
  <c r="DL42" i="16" s="1"/>
  <c r="DH13" i="16"/>
  <c r="DL13" i="16" s="1"/>
  <c r="DH24" i="16"/>
  <c r="DL24" i="16" s="1"/>
  <c r="DH35" i="16"/>
  <c r="DL35" i="16" s="1"/>
  <c r="DH4" i="16"/>
  <c r="DL4" i="16" s="1"/>
  <c r="DH50" i="16"/>
  <c r="DL50" i="16" s="1"/>
  <c r="DH51" i="16"/>
  <c r="DL51" i="16" s="1"/>
  <c r="DH48" i="16"/>
  <c r="DL48" i="16" s="1"/>
  <c r="DH59" i="16"/>
  <c r="DL59" i="16" s="1"/>
  <c r="DH12" i="16"/>
  <c r="DL12" i="16" s="1"/>
  <c r="DH34" i="16"/>
  <c r="DL34" i="16" s="1"/>
  <c r="DH55" i="16"/>
  <c r="DL55" i="16" s="1"/>
  <c r="DH56" i="16"/>
  <c r="DL56" i="16" s="1"/>
  <c r="DH20" i="16"/>
  <c r="DL20" i="16" s="1"/>
  <c r="DH22" i="16"/>
  <c r="DL22" i="16" s="1"/>
  <c r="DH47" i="16"/>
  <c r="DL47" i="16" s="1"/>
  <c r="CN5" i="16"/>
  <c r="CO5" i="16"/>
  <c r="CP5" i="16"/>
  <c r="CQ5" i="16"/>
  <c r="CR5" i="16"/>
  <c r="CS5" i="16"/>
  <c r="CT5" i="16"/>
  <c r="CN6" i="16"/>
  <c r="CO6" i="16"/>
  <c r="CP6" i="16"/>
  <c r="CQ6" i="16"/>
  <c r="CR6" i="16"/>
  <c r="CS6" i="16"/>
  <c r="CT6" i="16"/>
  <c r="CN7" i="16"/>
  <c r="CO7" i="16"/>
  <c r="CP7" i="16"/>
  <c r="CQ7" i="16"/>
  <c r="CR7" i="16"/>
  <c r="CS7" i="16"/>
  <c r="CT7" i="16"/>
  <c r="CN8" i="16"/>
  <c r="CO8" i="16"/>
  <c r="CP8" i="16"/>
  <c r="CQ8" i="16"/>
  <c r="CR8" i="16"/>
  <c r="CS8" i="16"/>
  <c r="CT8" i="16"/>
  <c r="CN9" i="16"/>
  <c r="CO9" i="16"/>
  <c r="CP9" i="16"/>
  <c r="CQ9" i="16"/>
  <c r="CR9" i="16"/>
  <c r="CS9" i="16"/>
  <c r="CT9" i="16"/>
  <c r="CN10" i="16"/>
  <c r="CO10" i="16"/>
  <c r="CP10" i="16"/>
  <c r="CQ10" i="16"/>
  <c r="CR10" i="16"/>
  <c r="CS10" i="16"/>
  <c r="CT10" i="16"/>
  <c r="CN11" i="16"/>
  <c r="CO11" i="16"/>
  <c r="CP11" i="16"/>
  <c r="CQ11" i="16"/>
  <c r="CR11" i="16"/>
  <c r="CS11" i="16"/>
  <c r="CT11" i="16"/>
  <c r="CN12" i="16"/>
  <c r="CO12" i="16"/>
  <c r="CP12" i="16"/>
  <c r="CQ12" i="16"/>
  <c r="CR12" i="16"/>
  <c r="CS12" i="16"/>
  <c r="CT12" i="16"/>
  <c r="CN13" i="16"/>
  <c r="CO13" i="16"/>
  <c r="CP13" i="16"/>
  <c r="CQ13" i="16"/>
  <c r="CR13" i="16"/>
  <c r="CS13" i="16"/>
  <c r="CT13" i="16"/>
  <c r="CN14" i="16"/>
  <c r="CO14" i="16"/>
  <c r="CP14" i="16"/>
  <c r="CQ14" i="16"/>
  <c r="CR14" i="16"/>
  <c r="CS14" i="16"/>
  <c r="CT14" i="16"/>
  <c r="CN15" i="16"/>
  <c r="CO15" i="16"/>
  <c r="CP15" i="16"/>
  <c r="CQ15" i="16"/>
  <c r="CR15" i="16"/>
  <c r="CS15" i="16"/>
  <c r="CT15" i="16"/>
  <c r="CN16" i="16"/>
  <c r="CO16" i="16"/>
  <c r="CP16" i="16"/>
  <c r="CQ16" i="16"/>
  <c r="CR16" i="16"/>
  <c r="CS16" i="16"/>
  <c r="CT16" i="16"/>
  <c r="CN17" i="16"/>
  <c r="CO17" i="16"/>
  <c r="CP17" i="16"/>
  <c r="CQ17" i="16"/>
  <c r="CR17" i="16"/>
  <c r="CS17" i="16"/>
  <c r="CT17" i="16"/>
  <c r="CN18" i="16"/>
  <c r="CO18" i="16"/>
  <c r="CP18" i="16"/>
  <c r="CQ18" i="16"/>
  <c r="CR18" i="16"/>
  <c r="CS18" i="16"/>
  <c r="CT18" i="16"/>
  <c r="CN19" i="16"/>
  <c r="CO19" i="16"/>
  <c r="CP19" i="16"/>
  <c r="CQ19" i="16"/>
  <c r="CR19" i="16"/>
  <c r="CS19" i="16"/>
  <c r="CT19" i="16"/>
  <c r="CN20" i="16"/>
  <c r="CO20" i="16"/>
  <c r="CP20" i="16"/>
  <c r="CQ20" i="16"/>
  <c r="CR20" i="16"/>
  <c r="CS20" i="16"/>
  <c r="CT20" i="16"/>
  <c r="CN21" i="16"/>
  <c r="CO21" i="16"/>
  <c r="CP21" i="16"/>
  <c r="CQ21" i="16"/>
  <c r="CR21" i="16"/>
  <c r="CS21" i="16"/>
  <c r="CT21" i="16"/>
  <c r="CN22" i="16"/>
  <c r="CO22" i="16"/>
  <c r="CP22" i="16"/>
  <c r="CQ22" i="16"/>
  <c r="CR22" i="16"/>
  <c r="CS22" i="16"/>
  <c r="CT22" i="16"/>
  <c r="CN23" i="16"/>
  <c r="CO23" i="16"/>
  <c r="CP23" i="16"/>
  <c r="CQ23" i="16"/>
  <c r="CR23" i="16"/>
  <c r="CS23" i="16"/>
  <c r="CT23" i="16"/>
  <c r="CN24" i="16"/>
  <c r="CO24" i="16"/>
  <c r="CP24" i="16"/>
  <c r="CQ24" i="16"/>
  <c r="CR24" i="16"/>
  <c r="CS24" i="16"/>
  <c r="CT24" i="16"/>
  <c r="CN25" i="16"/>
  <c r="CO25" i="16"/>
  <c r="CP25" i="16"/>
  <c r="CQ25" i="16"/>
  <c r="CR25" i="16"/>
  <c r="CS25" i="16"/>
  <c r="CT25" i="16"/>
  <c r="CN26" i="16"/>
  <c r="CO26" i="16"/>
  <c r="CP26" i="16"/>
  <c r="CQ26" i="16"/>
  <c r="CR26" i="16"/>
  <c r="CS26" i="16"/>
  <c r="CT26" i="16"/>
  <c r="CN27" i="16"/>
  <c r="CO27" i="16"/>
  <c r="CP27" i="16"/>
  <c r="CQ27" i="16"/>
  <c r="CR27" i="16"/>
  <c r="CS27" i="16"/>
  <c r="CT27" i="16"/>
  <c r="CN28" i="16"/>
  <c r="CO28" i="16"/>
  <c r="CP28" i="16"/>
  <c r="CQ28" i="16"/>
  <c r="CR28" i="16"/>
  <c r="CS28" i="16"/>
  <c r="CT28" i="16"/>
  <c r="CN29" i="16"/>
  <c r="CO29" i="16"/>
  <c r="CP29" i="16"/>
  <c r="CQ29" i="16"/>
  <c r="CR29" i="16"/>
  <c r="CS29" i="16"/>
  <c r="CT29" i="16"/>
  <c r="CN30" i="16"/>
  <c r="CO30" i="16"/>
  <c r="CP30" i="16"/>
  <c r="CQ30" i="16"/>
  <c r="CR30" i="16"/>
  <c r="CS30" i="16"/>
  <c r="CT30" i="16"/>
  <c r="CN31" i="16"/>
  <c r="CO31" i="16"/>
  <c r="CP31" i="16"/>
  <c r="CQ31" i="16"/>
  <c r="CR31" i="16"/>
  <c r="CS31" i="16"/>
  <c r="CT31" i="16"/>
  <c r="CN32" i="16"/>
  <c r="CO32" i="16"/>
  <c r="CP32" i="16"/>
  <c r="CQ32" i="16"/>
  <c r="CR32" i="16"/>
  <c r="CS32" i="16"/>
  <c r="CT32" i="16"/>
  <c r="CN33" i="16"/>
  <c r="CO33" i="16"/>
  <c r="CP33" i="16"/>
  <c r="CQ33" i="16"/>
  <c r="CR33" i="16"/>
  <c r="CS33" i="16"/>
  <c r="CT33" i="16"/>
  <c r="CN34" i="16"/>
  <c r="CO34" i="16"/>
  <c r="CP34" i="16"/>
  <c r="CQ34" i="16"/>
  <c r="CR34" i="16"/>
  <c r="CS34" i="16"/>
  <c r="CT34" i="16"/>
  <c r="CN35" i="16"/>
  <c r="CO35" i="16"/>
  <c r="CP35" i="16"/>
  <c r="CQ35" i="16"/>
  <c r="CR35" i="16"/>
  <c r="CS35" i="16"/>
  <c r="CT35" i="16"/>
  <c r="CN36" i="16"/>
  <c r="CO36" i="16"/>
  <c r="CP36" i="16"/>
  <c r="CQ36" i="16"/>
  <c r="CR36" i="16"/>
  <c r="CS36" i="16"/>
  <c r="CT36" i="16"/>
  <c r="CN37" i="16"/>
  <c r="CO37" i="16"/>
  <c r="CP37" i="16"/>
  <c r="CQ37" i="16"/>
  <c r="CR37" i="16"/>
  <c r="CS37" i="16"/>
  <c r="CT37" i="16"/>
  <c r="CN38" i="16"/>
  <c r="CO38" i="16"/>
  <c r="CP38" i="16"/>
  <c r="CQ38" i="16"/>
  <c r="CR38" i="16"/>
  <c r="CS38" i="16"/>
  <c r="CT38" i="16"/>
  <c r="CN39" i="16"/>
  <c r="CO39" i="16"/>
  <c r="CP39" i="16"/>
  <c r="CQ39" i="16"/>
  <c r="CR39" i="16"/>
  <c r="CS39" i="16"/>
  <c r="CT39" i="16"/>
  <c r="CN40" i="16"/>
  <c r="CO40" i="16"/>
  <c r="CP40" i="16"/>
  <c r="CQ40" i="16"/>
  <c r="CR40" i="16"/>
  <c r="CS40" i="16"/>
  <c r="CT40" i="16"/>
  <c r="CN41" i="16"/>
  <c r="CO41" i="16"/>
  <c r="CP41" i="16"/>
  <c r="CQ41" i="16"/>
  <c r="CR41" i="16"/>
  <c r="CS41" i="16"/>
  <c r="CT41" i="16"/>
  <c r="CN42" i="16"/>
  <c r="CO42" i="16"/>
  <c r="CP42" i="16"/>
  <c r="CQ42" i="16"/>
  <c r="CR42" i="16"/>
  <c r="CS42" i="16"/>
  <c r="CT42" i="16"/>
  <c r="CN43" i="16"/>
  <c r="CO43" i="16"/>
  <c r="CP43" i="16"/>
  <c r="CQ43" i="16"/>
  <c r="CR43" i="16"/>
  <c r="CS43" i="16"/>
  <c r="CT43" i="16"/>
  <c r="CN44" i="16"/>
  <c r="CO44" i="16"/>
  <c r="CP44" i="16"/>
  <c r="CQ44" i="16"/>
  <c r="CR44" i="16"/>
  <c r="CS44" i="16"/>
  <c r="CT44" i="16"/>
  <c r="CN45" i="16"/>
  <c r="CO45" i="16"/>
  <c r="CP45" i="16"/>
  <c r="CQ45" i="16"/>
  <c r="CR45" i="16"/>
  <c r="CS45" i="16"/>
  <c r="CT45" i="16"/>
  <c r="CN46" i="16"/>
  <c r="CO46" i="16"/>
  <c r="CP46" i="16"/>
  <c r="CQ46" i="16"/>
  <c r="CR46" i="16"/>
  <c r="CS46" i="16"/>
  <c r="CT46" i="16"/>
  <c r="CN47" i="16"/>
  <c r="CO47" i="16"/>
  <c r="CP47" i="16"/>
  <c r="CQ47" i="16"/>
  <c r="CR47" i="16"/>
  <c r="CS47" i="16"/>
  <c r="CT47" i="16"/>
  <c r="CN48" i="16"/>
  <c r="CO48" i="16"/>
  <c r="CP48" i="16"/>
  <c r="CQ48" i="16"/>
  <c r="CR48" i="16"/>
  <c r="CS48" i="16"/>
  <c r="CT48" i="16"/>
  <c r="CN49" i="16"/>
  <c r="CO49" i="16"/>
  <c r="CP49" i="16"/>
  <c r="CQ49" i="16"/>
  <c r="CR49" i="16"/>
  <c r="CS49" i="16"/>
  <c r="CT49" i="16"/>
  <c r="CN50" i="16"/>
  <c r="CO50" i="16"/>
  <c r="CP50" i="16"/>
  <c r="CQ50" i="16"/>
  <c r="CR50" i="16"/>
  <c r="CS50" i="16"/>
  <c r="CT50" i="16"/>
  <c r="CN51" i="16"/>
  <c r="CO51" i="16"/>
  <c r="CP51" i="16"/>
  <c r="CQ51" i="16"/>
  <c r="CR51" i="16"/>
  <c r="CS51" i="16"/>
  <c r="CT51" i="16"/>
  <c r="CN52" i="16"/>
  <c r="CO52" i="16"/>
  <c r="CP52" i="16"/>
  <c r="CQ52" i="16"/>
  <c r="CR52" i="16"/>
  <c r="CS52" i="16"/>
  <c r="CT52" i="16"/>
  <c r="CN53" i="16"/>
  <c r="CO53" i="16"/>
  <c r="CP53" i="16"/>
  <c r="CQ53" i="16"/>
  <c r="CR53" i="16"/>
  <c r="CS53" i="16"/>
  <c r="CT53" i="16"/>
  <c r="CN54" i="16"/>
  <c r="CO54" i="16"/>
  <c r="CP54" i="16"/>
  <c r="CQ54" i="16"/>
  <c r="CR54" i="16"/>
  <c r="CS54" i="16"/>
  <c r="CT54" i="16"/>
  <c r="CT4" i="16"/>
  <c r="CS4" i="16"/>
  <c r="CR4" i="16"/>
  <c r="CQ4" i="16"/>
  <c r="CP4" i="16"/>
  <c r="CO4" i="16"/>
  <c r="CN4" i="16"/>
  <c r="CB5" i="16"/>
  <c r="CC5" i="16"/>
  <c r="CD5" i="16"/>
  <c r="CE5" i="16"/>
  <c r="CF5" i="16"/>
  <c r="CG5" i="16"/>
  <c r="CH5" i="16"/>
  <c r="CB6" i="16"/>
  <c r="CC6" i="16"/>
  <c r="CD6" i="16"/>
  <c r="CE6" i="16"/>
  <c r="CF6" i="16"/>
  <c r="CG6" i="16"/>
  <c r="CH6" i="16"/>
  <c r="CB7" i="16"/>
  <c r="CC7" i="16"/>
  <c r="CD7" i="16"/>
  <c r="CE7" i="16"/>
  <c r="CF7" i="16"/>
  <c r="CG7" i="16"/>
  <c r="CH7" i="16"/>
  <c r="CB8" i="16"/>
  <c r="CC8" i="16"/>
  <c r="CD8" i="16"/>
  <c r="CE8" i="16"/>
  <c r="CF8" i="16"/>
  <c r="CG8" i="16"/>
  <c r="CH8" i="16"/>
  <c r="CB9" i="16"/>
  <c r="CC9" i="16"/>
  <c r="CD9" i="16"/>
  <c r="CE9" i="16"/>
  <c r="CF9" i="16"/>
  <c r="CG9" i="16"/>
  <c r="CH9" i="16"/>
  <c r="CB10" i="16"/>
  <c r="CC10" i="16"/>
  <c r="CD10" i="16"/>
  <c r="CE10" i="16"/>
  <c r="CF10" i="16"/>
  <c r="CG10" i="16"/>
  <c r="CH10" i="16"/>
  <c r="CB11" i="16"/>
  <c r="CC11" i="16"/>
  <c r="CD11" i="16"/>
  <c r="CE11" i="16"/>
  <c r="CF11" i="16"/>
  <c r="CG11" i="16"/>
  <c r="CH11" i="16"/>
  <c r="CB12" i="16"/>
  <c r="CC12" i="16"/>
  <c r="CD12" i="16"/>
  <c r="CE12" i="16"/>
  <c r="CF12" i="16"/>
  <c r="CG12" i="16"/>
  <c r="CH12" i="16"/>
  <c r="CB13" i="16"/>
  <c r="CC13" i="16"/>
  <c r="CD13" i="16"/>
  <c r="CE13" i="16"/>
  <c r="CF13" i="16"/>
  <c r="CG13" i="16"/>
  <c r="CH13" i="16"/>
  <c r="CB14" i="16"/>
  <c r="CC14" i="16"/>
  <c r="CD14" i="16"/>
  <c r="CE14" i="16"/>
  <c r="CF14" i="16"/>
  <c r="CG14" i="16"/>
  <c r="CH14" i="16"/>
  <c r="CB15" i="16"/>
  <c r="CC15" i="16"/>
  <c r="CD15" i="16"/>
  <c r="CE15" i="16"/>
  <c r="CF15" i="16"/>
  <c r="CG15" i="16"/>
  <c r="CH15" i="16"/>
  <c r="CB16" i="16"/>
  <c r="CC16" i="16"/>
  <c r="CD16" i="16"/>
  <c r="CE16" i="16"/>
  <c r="CF16" i="16"/>
  <c r="CG16" i="16"/>
  <c r="CH16" i="16"/>
  <c r="CB17" i="16"/>
  <c r="CC17" i="16"/>
  <c r="CD17" i="16"/>
  <c r="CE17" i="16"/>
  <c r="CF17" i="16"/>
  <c r="CG17" i="16"/>
  <c r="CH17" i="16"/>
  <c r="CB18" i="16"/>
  <c r="CC18" i="16"/>
  <c r="CD18" i="16"/>
  <c r="CE18" i="16"/>
  <c r="CF18" i="16"/>
  <c r="CG18" i="16"/>
  <c r="CH18" i="16"/>
  <c r="CB19" i="16"/>
  <c r="CC19" i="16"/>
  <c r="CD19" i="16"/>
  <c r="CE19" i="16"/>
  <c r="CF19" i="16"/>
  <c r="CG19" i="16"/>
  <c r="CH19" i="16"/>
  <c r="CB20" i="16"/>
  <c r="CC20" i="16"/>
  <c r="CD20" i="16"/>
  <c r="CE20" i="16"/>
  <c r="CF20" i="16"/>
  <c r="CG20" i="16"/>
  <c r="CH20" i="16"/>
  <c r="CB21" i="16"/>
  <c r="CC21" i="16"/>
  <c r="CD21" i="16"/>
  <c r="CE21" i="16"/>
  <c r="CF21" i="16"/>
  <c r="CG21" i="16"/>
  <c r="CH21" i="16"/>
  <c r="CB22" i="16"/>
  <c r="CC22" i="16"/>
  <c r="CD22" i="16"/>
  <c r="CE22" i="16"/>
  <c r="CF22" i="16"/>
  <c r="CG22" i="16"/>
  <c r="CH22" i="16"/>
  <c r="CB23" i="16"/>
  <c r="CC23" i="16"/>
  <c r="CD23" i="16"/>
  <c r="CE23" i="16"/>
  <c r="CF23" i="16"/>
  <c r="CG23" i="16"/>
  <c r="CH23" i="16"/>
  <c r="CB24" i="16"/>
  <c r="CC24" i="16"/>
  <c r="CD24" i="16"/>
  <c r="CE24" i="16"/>
  <c r="CF24" i="16"/>
  <c r="CG24" i="16"/>
  <c r="CH24" i="16"/>
  <c r="CB25" i="16"/>
  <c r="CC25" i="16"/>
  <c r="CD25" i="16"/>
  <c r="CE25" i="16"/>
  <c r="CF25" i="16"/>
  <c r="CG25" i="16"/>
  <c r="CH25" i="16"/>
  <c r="CB26" i="16"/>
  <c r="CC26" i="16"/>
  <c r="CD26" i="16"/>
  <c r="CE26" i="16"/>
  <c r="CF26" i="16"/>
  <c r="CG26" i="16"/>
  <c r="CH26" i="16"/>
  <c r="CB27" i="16"/>
  <c r="CC27" i="16"/>
  <c r="CD27" i="16"/>
  <c r="CE27" i="16"/>
  <c r="CF27" i="16"/>
  <c r="CG27" i="16"/>
  <c r="CH27" i="16"/>
  <c r="CB28" i="16"/>
  <c r="CC28" i="16"/>
  <c r="CD28" i="16"/>
  <c r="CE28" i="16"/>
  <c r="CF28" i="16"/>
  <c r="CG28" i="16"/>
  <c r="CH28" i="16"/>
  <c r="CB29" i="16"/>
  <c r="CC29" i="16"/>
  <c r="CD29" i="16"/>
  <c r="CE29" i="16"/>
  <c r="CF29" i="16"/>
  <c r="CG29" i="16"/>
  <c r="CH29" i="16"/>
  <c r="CB30" i="16"/>
  <c r="CC30" i="16"/>
  <c r="CD30" i="16"/>
  <c r="CE30" i="16"/>
  <c r="CF30" i="16"/>
  <c r="CG30" i="16"/>
  <c r="CH30" i="16"/>
  <c r="CB31" i="16"/>
  <c r="CC31" i="16"/>
  <c r="CD31" i="16"/>
  <c r="CE31" i="16"/>
  <c r="CF31" i="16"/>
  <c r="CG31" i="16"/>
  <c r="CH31" i="16"/>
  <c r="CB32" i="16"/>
  <c r="CC32" i="16"/>
  <c r="CD32" i="16"/>
  <c r="CE32" i="16"/>
  <c r="CF32" i="16"/>
  <c r="CG32" i="16"/>
  <c r="CH32" i="16"/>
  <c r="CB33" i="16"/>
  <c r="CC33" i="16"/>
  <c r="CD33" i="16"/>
  <c r="CE33" i="16"/>
  <c r="CF33" i="16"/>
  <c r="CG33" i="16"/>
  <c r="CH33" i="16"/>
  <c r="CB34" i="16"/>
  <c r="CC34" i="16"/>
  <c r="CD34" i="16"/>
  <c r="CE34" i="16"/>
  <c r="CF34" i="16"/>
  <c r="CG34" i="16"/>
  <c r="CH34" i="16"/>
  <c r="CB35" i="16"/>
  <c r="CC35" i="16"/>
  <c r="CD35" i="16"/>
  <c r="CE35" i="16"/>
  <c r="CF35" i="16"/>
  <c r="CG35" i="16"/>
  <c r="CH35" i="16"/>
  <c r="CB36" i="16"/>
  <c r="CC36" i="16"/>
  <c r="CD36" i="16"/>
  <c r="CE36" i="16"/>
  <c r="CF36" i="16"/>
  <c r="CG36" i="16"/>
  <c r="CH36" i="16"/>
  <c r="CB37" i="16"/>
  <c r="CC37" i="16"/>
  <c r="CD37" i="16"/>
  <c r="CE37" i="16"/>
  <c r="CF37" i="16"/>
  <c r="CG37" i="16"/>
  <c r="CH37" i="16"/>
  <c r="CB38" i="16"/>
  <c r="CC38" i="16"/>
  <c r="CD38" i="16"/>
  <c r="CE38" i="16"/>
  <c r="CF38" i="16"/>
  <c r="CG38" i="16"/>
  <c r="CH38" i="16"/>
  <c r="CB39" i="16"/>
  <c r="CC39" i="16"/>
  <c r="CD39" i="16"/>
  <c r="CE39" i="16"/>
  <c r="CF39" i="16"/>
  <c r="CG39" i="16"/>
  <c r="CH39" i="16"/>
  <c r="CB40" i="16"/>
  <c r="CC40" i="16"/>
  <c r="CD40" i="16"/>
  <c r="CE40" i="16"/>
  <c r="CF40" i="16"/>
  <c r="CG40" i="16"/>
  <c r="CH40" i="16"/>
  <c r="CB41" i="16"/>
  <c r="CC41" i="16"/>
  <c r="CD41" i="16"/>
  <c r="CE41" i="16"/>
  <c r="CF41" i="16"/>
  <c r="CG41" i="16"/>
  <c r="CH41" i="16"/>
  <c r="CB42" i="16"/>
  <c r="CC42" i="16"/>
  <c r="CD42" i="16"/>
  <c r="CE42" i="16"/>
  <c r="CF42" i="16"/>
  <c r="CG42" i="16"/>
  <c r="CH42" i="16"/>
  <c r="CB43" i="16"/>
  <c r="CC43" i="16"/>
  <c r="CD43" i="16"/>
  <c r="CE43" i="16"/>
  <c r="CF43" i="16"/>
  <c r="CG43" i="16"/>
  <c r="CH43" i="16"/>
  <c r="CB44" i="16"/>
  <c r="CC44" i="16"/>
  <c r="CD44" i="16"/>
  <c r="CE44" i="16"/>
  <c r="CF44" i="16"/>
  <c r="CG44" i="16"/>
  <c r="CH44" i="16"/>
  <c r="CB45" i="16"/>
  <c r="CC45" i="16"/>
  <c r="CD45" i="16"/>
  <c r="CE45" i="16"/>
  <c r="CF45" i="16"/>
  <c r="CG45" i="16"/>
  <c r="CH45" i="16"/>
  <c r="CB46" i="16"/>
  <c r="CC46" i="16"/>
  <c r="CD46" i="16"/>
  <c r="CE46" i="16"/>
  <c r="CF46" i="16"/>
  <c r="CG46" i="16"/>
  <c r="CH46" i="16"/>
  <c r="CB47" i="16"/>
  <c r="CC47" i="16"/>
  <c r="CD47" i="16"/>
  <c r="CE47" i="16"/>
  <c r="CF47" i="16"/>
  <c r="CG47" i="16"/>
  <c r="CH47" i="16"/>
  <c r="CB48" i="16"/>
  <c r="CC48" i="16"/>
  <c r="CD48" i="16"/>
  <c r="CE48" i="16"/>
  <c r="CF48" i="16"/>
  <c r="CG48" i="16"/>
  <c r="CH48" i="16"/>
  <c r="CB49" i="16"/>
  <c r="CC49" i="16"/>
  <c r="CD49" i="16"/>
  <c r="CE49" i="16"/>
  <c r="CF49" i="16"/>
  <c r="CG49" i="16"/>
  <c r="CH49" i="16"/>
  <c r="CB50" i="16"/>
  <c r="CC50" i="16"/>
  <c r="CD50" i="16"/>
  <c r="CE50" i="16"/>
  <c r="CF50" i="16"/>
  <c r="CG50" i="16"/>
  <c r="CH50" i="16"/>
  <c r="CB51" i="16"/>
  <c r="CC51" i="16"/>
  <c r="CD51" i="16"/>
  <c r="CE51" i="16"/>
  <c r="CF51" i="16"/>
  <c r="CG51" i="16"/>
  <c r="CH51" i="16"/>
  <c r="CB52" i="16"/>
  <c r="CC52" i="16"/>
  <c r="CD52" i="16"/>
  <c r="CE52" i="16"/>
  <c r="CF52" i="16"/>
  <c r="CG52" i="16"/>
  <c r="CH52" i="16"/>
  <c r="CB53" i="16"/>
  <c r="CC53" i="16"/>
  <c r="CD53" i="16"/>
  <c r="CE53" i="16"/>
  <c r="CF53" i="16"/>
  <c r="CG53" i="16"/>
  <c r="CH53" i="16"/>
  <c r="CB54" i="16"/>
  <c r="CC54" i="16"/>
  <c r="CD54" i="16"/>
  <c r="CE54" i="16"/>
  <c r="CF54" i="16"/>
  <c r="CG54" i="16"/>
  <c r="CH54" i="16"/>
  <c r="CH4" i="16"/>
  <c r="CG4" i="16"/>
  <c r="CF4" i="16"/>
  <c r="CE4" i="16"/>
  <c r="CD4" i="16"/>
  <c r="CC4" i="16"/>
  <c r="CB4" i="16"/>
  <c r="B99" i="16"/>
  <c r="B80" i="23"/>
  <c r="W11" i="13"/>
  <c r="W16" i="13"/>
  <c r="W10" i="13"/>
  <c r="B89" i="9" s="1"/>
  <c r="W9" i="13"/>
  <c r="W8" i="13"/>
  <c r="V10" i="13"/>
  <c r="B88" i="9" s="1"/>
  <c r="V9" i="13"/>
  <c r="V8" i="13"/>
  <c r="AU13" i="13"/>
  <c r="BB13" i="13"/>
  <c r="BC13" i="13"/>
  <c r="AU14" i="13"/>
  <c r="BB14" i="13"/>
  <c r="BC14" i="13"/>
  <c r="AU15" i="13"/>
  <c r="BB15" i="13"/>
  <c r="BC15" i="13"/>
  <c r="BB16" i="13"/>
  <c r="BC16" i="13"/>
  <c r="CD5" i="9"/>
  <c r="CD6" i="9"/>
  <c r="CD7" i="9"/>
  <c r="CD8" i="9"/>
  <c r="CD9" i="9"/>
  <c r="CD10" i="9"/>
  <c r="CD11" i="9"/>
  <c r="CD12" i="9"/>
  <c r="CD13" i="9"/>
  <c r="CD14" i="9"/>
  <c r="CD15" i="9"/>
  <c r="CD16" i="9"/>
  <c r="CD17" i="9"/>
  <c r="CD18" i="9"/>
  <c r="CD19" i="9"/>
  <c r="CD20" i="9"/>
  <c r="CD21" i="9"/>
  <c r="CD22" i="9"/>
  <c r="CD23" i="9"/>
  <c r="CD24" i="9"/>
  <c r="CD25" i="9"/>
  <c r="CD26" i="9"/>
  <c r="CD27" i="9"/>
  <c r="CD28" i="9"/>
  <c r="CD29" i="9"/>
  <c r="CD30" i="9"/>
  <c r="CD31" i="9"/>
  <c r="CD32" i="9"/>
  <c r="CD33" i="9"/>
  <c r="CD34" i="9"/>
  <c r="CD35" i="9"/>
  <c r="CD36" i="9"/>
  <c r="CD37" i="9"/>
  <c r="CD38" i="9"/>
  <c r="CD39" i="9"/>
  <c r="CD40" i="9"/>
  <c r="CD41" i="9"/>
  <c r="CD42" i="9"/>
  <c r="CD43" i="9"/>
  <c r="CD44" i="9"/>
  <c r="CD45" i="9"/>
  <c r="CD46" i="9"/>
  <c r="CD47" i="9"/>
  <c r="CD48" i="9"/>
  <c r="CD49" i="9"/>
  <c r="CD50" i="9"/>
  <c r="CD51" i="9"/>
  <c r="CD52" i="9"/>
  <c r="CD53" i="9"/>
  <c r="CD54" i="9"/>
  <c r="CP4" i="9"/>
  <c r="CN4" i="9"/>
  <c r="CL4" i="9"/>
  <c r="CJ4" i="9"/>
  <c r="CH4" i="9"/>
  <c r="CF4" i="9"/>
  <c r="CD4" i="9"/>
  <c r="BR5" i="9"/>
  <c r="BS5" i="9"/>
  <c r="BT5" i="9"/>
  <c r="BU5" i="9"/>
  <c r="BV5" i="9"/>
  <c r="BW5" i="9"/>
  <c r="BX5" i="9"/>
  <c r="BR6" i="9"/>
  <c r="BS6" i="9"/>
  <c r="BT6" i="9"/>
  <c r="BU6" i="9"/>
  <c r="BV6" i="9"/>
  <c r="BW6" i="9"/>
  <c r="BX6" i="9"/>
  <c r="BR7" i="9"/>
  <c r="BS7" i="9"/>
  <c r="BT7" i="9"/>
  <c r="BU7" i="9"/>
  <c r="BV7" i="9"/>
  <c r="BW7" i="9"/>
  <c r="BX7" i="9"/>
  <c r="BR8" i="9"/>
  <c r="BS8" i="9"/>
  <c r="BT8" i="9"/>
  <c r="BU8" i="9"/>
  <c r="BV8" i="9"/>
  <c r="BW8" i="9"/>
  <c r="BX8" i="9"/>
  <c r="BR9" i="9"/>
  <c r="BS9" i="9"/>
  <c r="BT9" i="9"/>
  <c r="BU9" i="9"/>
  <c r="BV9" i="9"/>
  <c r="BW9" i="9"/>
  <c r="BX9" i="9"/>
  <c r="BR10" i="9"/>
  <c r="BS10" i="9"/>
  <c r="BT10" i="9"/>
  <c r="BU10" i="9"/>
  <c r="BV10" i="9"/>
  <c r="BW10" i="9"/>
  <c r="BX10" i="9"/>
  <c r="BR11" i="9"/>
  <c r="BS11" i="9"/>
  <c r="BT11" i="9"/>
  <c r="BU11" i="9"/>
  <c r="BV11" i="9"/>
  <c r="BW11" i="9"/>
  <c r="BX11" i="9"/>
  <c r="BR12" i="9"/>
  <c r="BS12" i="9"/>
  <c r="BT12" i="9"/>
  <c r="BU12" i="9"/>
  <c r="BV12" i="9"/>
  <c r="BW12" i="9"/>
  <c r="BX12" i="9"/>
  <c r="BR13" i="9"/>
  <c r="BS13" i="9"/>
  <c r="BT13" i="9"/>
  <c r="BU13" i="9"/>
  <c r="BV13" i="9"/>
  <c r="BW13" i="9"/>
  <c r="BX13" i="9"/>
  <c r="BR14" i="9"/>
  <c r="BS14" i="9"/>
  <c r="BT14" i="9"/>
  <c r="BU14" i="9"/>
  <c r="BV14" i="9"/>
  <c r="BW14" i="9"/>
  <c r="BX14" i="9"/>
  <c r="BR15" i="9"/>
  <c r="BS15" i="9"/>
  <c r="BT15" i="9"/>
  <c r="BU15" i="9"/>
  <c r="BV15" i="9"/>
  <c r="BW15" i="9"/>
  <c r="BX15" i="9"/>
  <c r="BR16" i="9"/>
  <c r="BS16" i="9"/>
  <c r="BT16" i="9"/>
  <c r="BU16" i="9"/>
  <c r="BV16" i="9"/>
  <c r="BW16" i="9"/>
  <c r="BX16" i="9"/>
  <c r="BR17" i="9"/>
  <c r="BS17" i="9"/>
  <c r="BT17" i="9"/>
  <c r="BU17" i="9"/>
  <c r="BV17" i="9"/>
  <c r="BW17" i="9"/>
  <c r="BX17" i="9"/>
  <c r="BR18" i="9"/>
  <c r="BS18" i="9"/>
  <c r="BT18" i="9"/>
  <c r="BU18" i="9"/>
  <c r="BV18" i="9"/>
  <c r="BW18" i="9"/>
  <c r="BX18" i="9"/>
  <c r="BR19" i="9"/>
  <c r="BS19" i="9"/>
  <c r="BT19" i="9"/>
  <c r="BU19" i="9"/>
  <c r="BV19" i="9"/>
  <c r="BW19" i="9"/>
  <c r="BX19" i="9"/>
  <c r="BR20" i="9"/>
  <c r="BS20" i="9"/>
  <c r="BT20" i="9"/>
  <c r="BU20" i="9"/>
  <c r="BV20" i="9"/>
  <c r="BW20" i="9"/>
  <c r="BX20" i="9"/>
  <c r="BR21" i="9"/>
  <c r="BS21" i="9"/>
  <c r="BT21" i="9"/>
  <c r="BU21" i="9"/>
  <c r="BV21" i="9"/>
  <c r="BW21" i="9"/>
  <c r="BX21" i="9"/>
  <c r="BR22" i="9"/>
  <c r="BS22" i="9"/>
  <c r="BT22" i="9"/>
  <c r="BU22" i="9"/>
  <c r="BV22" i="9"/>
  <c r="BW22" i="9"/>
  <c r="BX22" i="9"/>
  <c r="BR23" i="9"/>
  <c r="BS23" i="9"/>
  <c r="BT23" i="9"/>
  <c r="BU23" i="9"/>
  <c r="BV23" i="9"/>
  <c r="BW23" i="9"/>
  <c r="BX23" i="9"/>
  <c r="BR24" i="9"/>
  <c r="BS24" i="9"/>
  <c r="BT24" i="9"/>
  <c r="BU24" i="9"/>
  <c r="BV24" i="9"/>
  <c r="BW24" i="9"/>
  <c r="BX24" i="9"/>
  <c r="BR25" i="9"/>
  <c r="BS25" i="9"/>
  <c r="BT25" i="9"/>
  <c r="BU25" i="9"/>
  <c r="BV25" i="9"/>
  <c r="BW25" i="9"/>
  <c r="BX25" i="9"/>
  <c r="BR26" i="9"/>
  <c r="BS26" i="9"/>
  <c r="BT26" i="9"/>
  <c r="BU26" i="9"/>
  <c r="BV26" i="9"/>
  <c r="BW26" i="9"/>
  <c r="BX26" i="9"/>
  <c r="BR27" i="9"/>
  <c r="BS27" i="9"/>
  <c r="BT27" i="9"/>
  <c r="BU27" i="9"/>
  <c r="BV27" i="9"/>
  <c r="BW27" i="9"/>
  <c r="BX27" i="9"/>
  <c r="BR28" i="9"/>
  <c r="BS28" i="9"/>
  <c r="BT28" i="9"/>
  <c r="BU28" i="9"/>
  <c r="BV28" i="9"/>
  <c r="BW28" i="9"/>
  <c r="BX28" i="9"/>
  <c r="BR29" i="9"/>
  <c r="BS29" i="9"/>
  <c r="BT29" i="9"/>
  <c r="BU29" i="9"/>
  <c r="BV29" i="9"/>
  <c r="BW29" i="9"/>
  <c r="BX29" i="9"/>
  <c r="BR30" i="9"/>
  <c r="BS30" i="9"/>
  <c r="BT30" i="9"/>
  <c r="BU30" i="9"/>
  <c r="BV30" i="9"/>
  <c r="BW30" i="9"/>
  <c r="BX30" i="9"/>
  <c r="BR31" i="9"/>
  <c r="BS31" i="9"/>
  <c r="BT31" i="9"/>
  <c r="BU31" i="9"/>
  <c r="BV31" i="9"/>
  <c r="BW31" i="9"/>
  <c r="BX31" i="9"/>
  <c r="BR32" i="9"/>
  <c r="BS32" i="9"/>
  <c r="BT32" i="9"/>
  <c r="BU32" i="9"/>
  <c r="BV32" i="9"/>
  <c r="BW32" i="9"/>
  <c r="BX32" i="9"/>
  <c r="BR33" i="9"/>
  <c r="BS33" i="9"/>
  <c r="BT33" i="9"/>
  <c r="BU33" i="9"/>
  <c r="BV33" i="9"/>
  <c r="BW33" i="9"/>
  <c r="BX33" i="9"/>
  <c r="BR34" i="9"/>
  <c r="BS34" i="9"/>
  <c r="BT34" i="9"/>
  <c r="BU34" i="9"/>
  <c r="BV34" i="9"/>
  <c r="BW34" i="9"/>
  <c r="BX34" i="9"/>
  <c r="BR35" i="9"/>
  <c r="BS35" i="9"/>
  <c r="BT35" i="9"/>
  <c r="BU35" i="9"/>
  <c r="BV35" i="9"/>
  <c r="BW35" i="9"/>
  <c r="BX35" i="9"/>
  <c r="BR36" i="9"/>
  <c r="BS36" i="9"/>
  <c r="BT36" i="9"/>
  <c r="BU36" i="9"/>
  <c r="BV36" i="9"/>
  <c r="BW36" i="9"/>
  <c r="BX36" i="9"/>
  <c r="BR37" i="9"/>
  <c r="BS37" i="9"/>
  <c r="BT37" i="9"/>
  <c r="BU37" i="9"/>
  <c r="BV37" i="9"/>
  <c r="BW37" i="9"/>
  <c r="BX37" i="9"/>
  <c r="BR38" i="9"/>
  <c r="BS38" i="9"/>
  <c r="BT38" i="9"/>
  <c r="BU38" i="9"/>
  <c r="BV38" i="9"/>
  <c r="BW38" i="9"/>
  <c r="BX38" i="9"/>
  <c r="BR39" i="9"/>
  <c r="BS39" i="9"/>
  <c r="BT39" i="9"/>
  <c r="BU39" i="9"/>
  <c r="BV39" i="9"/>
  <c r="BW39" i="9"/>
  <c r="BX39" i="9"/>
  <c r="BR40" i="9"/>
  <c r="BS40" i="9"/>
  <c r="BT40" i="9"/>
  <c r="BU40" i="9"/>
  <c r="BV40" i="9"/>
  <c r="BW40" i="9"/>
  <c r="BX40" i="9"/>
  <c r="BR41" i="9"/>
  <c r="BS41" i="9"/>
  <c r="BT41" i="9"/>
  <c r="BU41" i="9"/>
  <c r="BV41" i="9"/>
  <c r="BW41" i="9"/>
  <c r="BX41" i="9"/>
  <c r="BR42" i="9"/>
  <c r="BS42" i="9"/>
  <c r="BT42" i="9"/>
  <c r="BU42" i="9"/>
  <c r="BV42" i="9"/>
  <c r="BW42" i="9"/>
  <c r="BX42" i="9"/>
  <c r="BR43" i="9"/>
  <c r="BS43" i="9"/>
  <c r="BT43" i="9"/>
  <c r="BU43" i="9"/>
  <c r="BV43" i="9"/>
  <c r="BW43" i="9"/>
  <c r="BX43" i="9"/>
  <c r="BR44" i="9"/>
  <c r="BS44" i="9"/>
  <c r="BT44" i="9"/>
  <c r="BU44" i="9"/>
  <c r="BV44" i="9"/>
  <c r="BW44" i="9"/>
  <c r="BX44" i="9"/>
  <c r="BR45" i="9"/>
  <c r="BS45" i="9"/>
  <c r="BT45" i="9"/>
  <c r="BU45" i="9"/>
  <c r="BV45" i="9"/>
  <c r="BW45" i="9"/>
  <c r="BX45" i="9"/>
  <c r="BR46" i="9"/>
  <c r="BS46" i="9"/>
  <c r="BT46" i="9"/>
  <c r="BU46" i="9"/>
  <c r="BV46" i="9"/>
  <c r="BW46" i="9"/>
  <c r="BX46" i="9"/>
  <c r="BR47" i="9"/>
  <c r="BS47" i="9"/>
  <c r="BT47" i="9"/>
  <c r="BU47" i="9"/>
  <c r="BV47" i="9"/>
  <c r="BW47" i="9"/>
  <c r="BX47" i="9"/>
  <c r="BR48" i="9"/>
  <c r="BS48" i="9"/>
  <c r="BT48" i="9"/>
  <c r="BU48" i="9"/>
  <c r="BV48" i="9"/>
  <c r="BW48" i="9"/>
  <c r="BX48" i="9"/>
  <c r="BR49" i="9"/>
  <c r="BS49" i="9"/>
  <c r="BT49" i="9"/>
  <c r="BU49" i="9"/>
  <c r="BV49" i="9"/>
  <c r="BW49" i="9"/>
  <c r="BX49" i="9"/>
  <c r="BR50" i="9"/>
  <c r="BS50" i="9"/>
  <c r="BT50" i="9"/>
  <c r="BU50" i="9"/>
  <c r="BV50" i="9"/>
  <c r="BW50" i="9"/>
  <c r="BX50" i="9"/>
  <c r="BR51" i="9"/>
  <c r="BS51" i="9"/>
  <c r="BT51" i="9"/>
  <c r="BU51" i="9"/>
  <c r="BV51" i="9"/>
  <c r="BW51" i="9"/>
  <c r="BX51" i="9"/>
  <c r="BR52" i="9"/>
  <c r="BS52" i="9"/>
  <c r="BT52" i="9"/>
  <c r="BU52" i="9"/>
  <c r="BV52" i="9"/>
  <c r="BW52" i="9"/>
  <c r="BX52" i="9"/>
  <c r="BR53" i="9"/>
  <c r="BS53" i="9"/>
  <c r="BT53" i="9"/>
  <c r="BU53" i="9"/>
  <c r="BV53" i="9"/>
  <c r="BW53" i="9"/>
  <c r="BX53" i="9"/>
  <c r="BR54" i="9"/>
  <c r="BS54" i="9"/>
  <c r="BT54" i="9"/>
  <c r="BU54" i="9"/>
  <c r="BV54" i="9"/>
  <c r="BW54" i="9"/>
  <c r="BX54" i="9"/>
  <c r="BX4" i="9"/>
  <c r="BW4" i="9"/>
  <c r="BV4" i="9"/>
  <c r="BU4" i="9"/>
  <c r="BT4" i="9"/>
  <c r="BS4" i="9"/>
  <c r="BR4" i="9"/>
  <c r="B100" i="9"/>
  <c r="B85" i="9"/>
  <c r="CL5" i="8"/>
  <c r="CM5" i="8"/>
  <c r="CN5" i="8"/>
  <c r="CO5" i="8"/>
  <c r="CP5" i="8"/>
  <c r="CQ5" i="8"/>
  <c r="CL6" i="8"/>
  <c r="CM6" i="8"/>
  <c r="CN6" i="8"/>
  <c r="CO6" i="8"/>
  <c r="CP6" i="8"/>
  <c r="CQ6" i="8"/>
  <c r="CL7" i="8"/>
  <c r="CM7" i="8"/>
  <c r="CN7" i="8"/>
  <c r="CO7" i="8"/>
  <c r="CP7" i="8"/>
  <c r="CQ7" i="8"/>
  <c r="CL8" i="8"/>
  <c r="CM8" i="8"/>
  <c r="CN8" i="8"/>
  <c r="CO8" i="8"/>
  <c r="CP8" i="8"/>
  <c r="CQ8" i="8"/>
  <c r="CL9" i="8"/>
  <c r="CM9" i="8"/>
  <c r="CN9" i="8"/>
  <c r="CO9" i="8"/>
  <c r="CP9" i="8"/>
  <c r="CQ9" i="8"/>
  <c r="CL10" i="8"/>
  <c r="CM10" i="8"/>
  <c r="CN10" i="8"/>
  <c r="CO10" i="8"/>
  <c r="CP10" i="8"/>
  <c r="CQ10" i="8"/>
  <c r="CL11" i="8"/>
  <c r="CM11" i="8"/>
  <c r="CN11" i="8"/>
  <c r="CO11" i="8"/>
  <c r="CP11" i="8"/>
  <c r="CQ11" i="8"/>
  <c r="CL12" i="8"/>
  <c r="CM12" i="8"/>
  <c r="CN12" i="8"/>
  <c r="CO12" i="8"/>
  <c r="CP12" i="8"/>
  <c r="CQ12" i="8"/>
  <c r="CL13" i="8"/>
  <c r="CM13" i="8"/>
  <c r="CN13" i="8"/>
  <c r="CO13" i="8"/>
  <c r="CP13" i="8"/>
  <c r="CQ13" i="8"/>
  <c r="CL14" i="8"/>
  <c r="CM14" i="8"/>
  <c r="CN14" i="8"/>
  <c r="CO14" i="8"/>
  <c r="CP14" i="8"/>
  <c r="CQ14" i="8"/>
  <c r="CL15" i="8"/>
  <c r="CM15" i="8"/>
  <c r="CN15" i="8"/>
  <c r="CO15" i="8"/>
  <c r="CP15" i="8"/>
  <c r="CQ15" i="8"/>
  <c r="CL16" i="8"/>
  <c r="CM16" i="8"/>
  <c r="CN16" i="8"/>
  <c r="CO16" i="8"/>
  <c r="CP16" i="8"/>
  <c r="CQ16" i="8"/>
  <c r="CL17" i="8"/>
  <c r="CM17" i="8"/>
  <c r="CN17" i="8"/>
  <c r="CO17" i="8"/>
  <c r="CP17" i="8"/>
  <c r="CQ17" i="8"/>
  <c r="CL18" i="8"/>
  <c r="CM18" i="8"/>
  <c r="CN18" i="8"/>
  <c r="CO18" i="8"/>
  <c r="CP18" i="8"/>
  <c r="CQ18" i="8"/>
  <c r="CL19" i="8"/>
  <c r="CM19" i="8"/>
  <c r="CN19" i="8"/>
  <c r="CO19" i="8"/>
  <c r="CP19" i="8"/>
  <c r="CQ19" i="8"/>
  <c r="CL20" i="8"/>
  <c r="CM20" i="8"/>
  <c r="CN20" i="8"/>
  <c r="CO20" i="8"/>
  <c r="CP20" i="8"/>
  <c r="CQ20" i="8"/>
  <c r="CL21" i="8"/>
  <c r="CM21" i="8"/>
  <c r="CN21" i="8"/>
  <c r="CO21" i="8"/>
  <c r="CP21" i="8"/>
  <c r="CQ21" i="8"/>
  <c r="CL22" i="8"/>
  <c r="CM22" i="8"/>
  <c r="CN22" i="8"/>
  <c r="CO22" i="8"/>
  <c r="CP22" i="8"/>
  <c r="CQ22" i="8"/>
  <c r="CL23" i="8"/>
  <c r="CM23" i="8"/>
  <c r="CN23" i="8"/>
  <c r="CO23" i="8"/>
  <c r="CP23" i="8"/>
  <c r="CQ23" i="8"/>
  <c r="CL24" i="8"/>
  <c r="CM24" i="8"/>
  <c r="CN24" i="8"/>
  <c r="CO24" i="8"/>
  <c r="CP24" i="8"/>
  <c r="CQ24" i="8"/>
  <c r="CL25" i="8"/>
  <c r="CM25" i="8"/>
  <c r="CN25" i="8"/>
  <c r="CO25" i="8"/>
  <c r="CP25" i="8"/>
  <c r="CQ25" i="8"/>
  <c r="CL26" i="8"/>
  <c r="CM26" i="8"/>
  <c r="CN26" i="8"/>
  <c r="CO26" i="8"/>
  <c r="CP26" i="8"/>
  <c r="CQ26" i="8"/>
  <c r="CL27" i="8"/>
  <c r="CM27" i="8"/>
  <c r="CN27" i="8"/>
  <c r="CO27" i="8"/>
  <c r="CP27" i="8"/>
  <c r="CQ27" i="8"/>
  <c r="CL28" i="8"/>
  <c r="CM28" i="8"/>
  <c r="CN28" i="8"/>
  <c r="CO28" i="8"/>
  <c r="CP28" i="8"/>
  <c r="CQ28" i="8"/>
  <c r="CL29" i="8"/>
  <c r="CM29" i="8"/>
  <c r="CN29" i="8"/>
  <c r="CO29" i="8"/>
  <c r="CP29" i="8"/>
  <c r="CQ29" i="8"/>
  <c r="CL30" i="8"/>
  <c r="CM30" i="8"/>
  <c r="CN30" i="8"/>
  <c r="CO30" i="8"/>
  <c r="CP30" i="8"/>
  <c r="CQ30" i="8"/>
  <c r="CL31" i="8"/>
  <c r="CM31" i="8"/>
  <c r="CN31" i="8"/>
  <c r="CO31" i="8"/>
  <c r="CP31" i="8"/>
  <c r="CQ31" i="8"/>
  <c r="CL32" i="8"/>
  <c r="CM32" i="8"/>
  <c r="CN32" i="8"/>
  <c r="CO32" i="8"/>
  <c r="CP32" i="8"/>
  <c r="CQ32" i="8"/>
  <c r="CL33" i="8"/>
  <c r="CM33" i="8"/>
  <c r="CN33" i="8"/>
  <c r="CO33" i="8"/>
  <c r="CP33" i="8"/>
  <c r="CQ33" i="8"/>
  <c r="CL34" i="8"/>
  <c r="CM34" i="8"/>
  <c r="CN34" i="8"/>
  <c r="CO34" i="8"/>
  <c r="CP34" i="8"/>
  <c r="CQ34" i="8"/>
  <c r="CL35" i="8"/>
  <c r="CM35" i="8"/>
  <c r="CN35" i="8"/>
  <c r="CO35" i="8"/>
  <c r="CP35" i="8"/>
  <c r="CQ35" i="8"/>
  <c r="CL36" i="8"/>
  <c r="CM36" i="8"/>
  <c r="CN36" i="8"/>
  <c r="CO36" i="8"/>
  <c r="CP36" i="8"/>
  <c r="CQ36" i="8"/>
  <c r="CL37" i="8"/>
  <c r="CM37" i="8"/>
  <c r="CN37" i="8"/>
  <c r="CO37" i="8"/>
  <c r="CP37" i="8"/>
  <c r="CQ37" i="8"/>
  <c r="CL38" i="8"/>
  <c r="CM38" i="8"/>
  <c r="CN38" i="8"/>
  <c r="CO38" i="8"/>
  <c r="CP38" i="8"/>
  <c r="CQ38" i="8"/>
  <c r="CL39" i="8"/>
  <c r="CM39" i="8"/>
  <c r="CN39" i="8"/>
  <c r="CO39" i="8"/>
  <c r="CP39" i="8"/>
  <c r="CQ39" i="8"/>
  <c r="CL40" i="8"/>
  <c r="CM40" i="8"/>
  <c r="CN40" i="8"/>
  <c r="CO40" i="8"/>
  <c r="CP40" i="8"/>
  <c r="CQ40" i="8"/>
  <c r="CL41" i="8"/>
  <c r="CM41" i="8"/>
  <c r="CN41" i="8"/>
  <c r="CO41" i="8"/>
  <c r="CP41" i="8"/>
  <c r="CQ41" i="8"/>
  <c r="CL42" i="8"/>
  <c r="CM42" i="8"/>
  <c r="CN42" i="8"/>
  <c r="CO42" i="8"/>
  <c r="CP42" i="8"/>
  <c r="CQ42" i="8"/>
  <c r="CL43" i="8"/>
  <c r="CM43" i="8"/>
  <c r="CN43" i="8"/>
  <c r="CO43" i="8"/>
  <c r="CP43" i="8"/>
  <c r="CQ43" i="8"/>
  <c r="CL44" i="8"/>
  <c r="CM44" i="8"/>
  <c r="CN44" i="8"/>
  <c r="CO44" i="8"/>
  <c r="CP44" i="8"/>
  <c r="CQ44" i="8"/>
  <c r="CL45" i="8"/>
  <c r="CM45" i="8"/>
  <c r="CN45" i="8"/>
  <c r="CO45" i="8"/>
  <c r="CP45" i="8"/>
  <c r="CQ45" i="8"/>
  <c r="CL46" i="8"/>
  <c r="CM46" i="8"/>
  <c r="CN46" i="8"/>
  <c r="CO46" i="8"/>
  <c r="CP46" i="8"/>
  <c r="CQ46" i="8"/>
  <c r="CL47" i="8"/>
  <c r="CM47" i="8"/>
  <c r="CN47" i="8"/>
  <c r="CO47" i="8"/>
  <c r="CP47" i="8"/>
  <c r="CQ47" i="8"/>
  <c r="CL48" i="8"/>
  <c r="CM48" i="8"/>
  <c r="CN48" i="8"/>
  <c r="CO48" i="8"/>
  <c r="CP48" i="8"/>
  <c r="CQ48" i="8"/>
  <c r="CL49" i="8"/>
  <c r="CM49" i="8"/>
  <c r="CN49" i="8"/>
  <c r="CO49" i="8"/>
  <c r="CP49" i="8"/>
  <c r="CQ49" i="8"/>
  <c r="CL50" i="8"/>
  <c r="CM50" i="8"/>
  <c r="CN50" i="8"/>
  <c r="CO50" i="8"/>
  <c r="CP50" i="8"/>
  <c r="CQ50" i="8"/>
  <c r="CL51" i="8"/>
  <c r="CM51" i="8"/>
  <c r="CN51" i="8"/>
  <c r="CO51" i="8"/>
  <c r="CP51" i="8"/>
  <c r="CQ51" i="8"/>
  <c r="CL52" i="8"/>
  <c r="CM52" i="8"/>
  <c r="CN52" i="8"/>
  <c r="CO52" i="8"/>
  <c r="CP52" i="8"/>
  <c r="CQ52" i="8"/>
  <c r="CL53" i="8"/>
  <c r="CM53" i="8"/>
  <c r="CN53" i="8"/>
  <c r="CO53" i="8"/>
  <c r="CP53" i="8"/>
  <c r="CQ53" i="8"/>
  <c r="CL54" i="8"/>
  <c r="CM54" i="8"/>
  <c r="CN54" i="8"/>
  <c r="CO54" i="8"/>
  <c r="CP54" i="8"/>
  <c r="CQ54" i="8"/>
  <c r="CQ4" i="8"/>
  <c r="CP4" i="8"/>
  <c r="CO4" i="8"/>
  <c r="CN4" i="8"/>
  <c r="CM4" i="8"/>
  <c r="CL4" i="8"/>
  <c r="BY5" i="8"/>
  <c r="BZ5" i="8"/>
  <c r="CA5" i="8"/>
  <c r="CB5" i="8"/>
  <c r="CC5" i="8"/>
  <c r="CD5" i="8"/>
  <c r="BY6" i="8"/>
  <c r="BZ6" i="8"/>
  <c r="CA6" i="8"/>
  <c r="CB6" i="8"/>
  <c r="CC6" i="8"/>
  <c r="CD6" i="8"/>
  <c r="BY7" i="8"/>
  <c r="BZ7" i="8"/>
  <c r="CA7" i="8"/>
  <c r="CB7" i="8"/>
  <c r="CC7" i="8"/>
  <c r="CD7" i="8"/>
  <c r="BY8" i="8"/>
  <c r="BZ8" i="8"/>
  <c r="CA8" i="8"/>
  <c r="CB8" i="8"/>
  <c r="CC8" i="8"/>
  <c r="CD8" i="8"/>
  <c r="BY9" i="8"/>
  <c r="BZ9" i="8"/>
  <c r="CA9" i="8"/>
  <c r="CB9" i="8"/>
  <c r="CC9" i="8"/>
  <c r="CD9" i="8"/>
  <c r="BY10" i="8"/>
  <c r="BZ10" i="8"/>
  <c r="CA10" i="8"/>
  <c r="CB10" i="8"/>
  <c r="CC10" i="8"/>
  <c r="CD10" i="8"/>
  <c r="BY11" i="8"/>
  <c r="BZ11" i="8"/>
  <c r="CA11" i="8"/>
  <c r="CB11" i="8"/>
  <c r="CC11" i="8"/>
  <c r="CD11" i="8"/>
  <c r="BY12" i="8"/>
  <c r="BZ12" i="8"/>
  <c r="CA12" i="8"/>
  <c r="CB12" i="8"/>
  <c r="CC12" i="8"/>
  <c r="CD12" i="8"/>
  <c r="BY13" i="8"/>
  <c r="BZ13" i="8"/>
  <c r="CA13" i="8"/>
  <c r="CB13" i="8"/>
  <c r="CC13" i="8"/>
  <c r="CD13" i="8"/>
  <c r="BY14" i="8"/>
  <c r="BZ14" i="8"/>
  <c r="CA14" i="8"/>
  <c r="CB14" i="8"/>
  <c r="CC14" i="8"/>
  <c r="CD14" i="8"/>
  <c r="BY15" i="8"/>
  <c r="BZ15" i="8"/>
  <c r="CA15" i="8"/>
  <c r="CB15" i="8"/>
  <c r="CC15" i="8"/>
  <c r="CD15" i="8"/>
  <c r="BY16" i="8"/>
  <c r="BZ16" i="8"/>
  <c r="CA16" i="8"/>
  <c r="CB16" i="8"/>
  <c r="CC16" i="8"/>
  <c r="CD16" i="8"/>
  <c r="BY17" i="8"/>
  <c r="BZ17" i="8"/>
  <c r="CA17" i="8"/>
  <c r="CB17" i="8"/>
  <c r="CC17" i="8"/>
  <c r="CD17" i="8"/>
  <c r="BY18" i="8"/>
  <c r="BZ18" i="8"/>
  <c r="CA18" i="8"/>
  <c r="CB18" i="8"/>
  <c r="CC18" i="8"/>
  <c r="CD18" i="8"/>
  <c r="BY19" i="8"/>
  <c r="BZ19" i="8"/>
  <c r="CA19" i="8"/>
  <c r="CB19" i="8"/>
  <c r="CC19" i="8"/>
  <c r="CD19" i="8"/>
  <c r="BY20" i="8"/>
  <c r="BZ20" i="8"/>
  <c r="CA20" i="8"/>
  <c r="CB20" i="8"/>
  <c r="CC20" i="8"/>
  <c r="CD20" i="8"/>
  <c r="BY21" i="8"/>
  <c r="BZ21" i="8"/>
  <c r="CA21" i="8"/>
  <c r="CB21" i="8"/>
  <c r="CC21" i="8"/>
  <c r="CD21" i="8"/>
  <c r="BY22" i="8"/>
  <c r="BZ22" i="8"/>
  <c r="CA22" i="8"/>
  <c r="CB22" i="8"/>
  <c r="CC22" i="8"/>
  <c r="CD22" i="8"/>
  <c r="BY23" i="8"/>
  <c r="BZ23" i="8"/>
  <c r="CA23" i="8"/>
  <c r="CB23" i="8"/>
  <c r="CC23" i="8"/>
  <c r="CD23" i="8"/>
  <c r="BY24" i="8"/>
  <c r="BZ24" i="8"/>
  <c r="CA24" i="8"/>
  <c r="CB24" i="8"/>
  <c r="CC24" i="8"/>
  <c r="CD24" i="8"/>
  <c r="BY25" i="8"/>
  <c r="BZ25" i="8"/>
  <c r="CA25" i="8"/>
  <c r="CB25" i="8"/>
  <c r="CC25" i="8"/>
  <c r="CD25" i="8"/>
  <c r="BY26" i="8"/>
  <c r="BZ26" i="8"/>
  <c r="CA26" i="8"/>
  <c r="CB26" i="8"/>
  <c r="CC26" i="8"/>
  <c r="CD26" i="8"/>
  <c r="BY27" i="8"/>
  <c r="BZ27" i="8"/>
  <c r="CA27" i="8"/>
  <c r="CB27" i="8"/>
  <c r="CC27" i="8"/>
  <c r="CD27" i="8"/>
  <c r="BY28" i="8"/>
  <c r="BZ28" i="8"/>
  <c r="CA28" i="8"/>
  <c r="CB28" i="8"/>
  <c r="CC28" i="8"/>
  <c r="CD28" i="8"/>
  <c r="BY29" i="8"/>
  <c r="BZ29" i="8"/>
  <c r="CA29" i="8"/>
  <c r="CB29" i="8"/>
  <c r="CC29" i="8"/>
  <c r="CD29" i="8"/>
  <c r="BY30" i="8"/>
  <c r="BZ30" i="8"/>
  <c r="CA30" i="8"/>
  <c r="CB30" i="8"/>
  <c r="CC30" i="8"/>
  <c r="CD30" i="8"/>
  <c r="BY31" i="8"/>
  <c r="BZ31" i="8"/>
  <c r="CA31" i="8"/>
  <c r="CB31" i="8"/>
  <c r="CC31" i="8"/>
  <c r="CD31" i="8"/>
  <c r="BY32" i="8"/>
  <c r="BZ32" i="8"/>
  <c r="CA32" i="8"/>
  <c r="CB32" i="8"/>
  <c r="CC32" i="8"/>
  <c r="CD32" i="8"/>
  <c r="BY33" i="8"/>
  <c r="BZ33" i="8"/>
  <c r="CA33" i="8"/>
  <c r="CB33" i="8"/>
  <c r="CC33" i="8"/>
  <c r="CD33" i="8"/>
  <c r="BY34" i="8"/>
  <c r="BZ34" i="8"/>
  <c r="CA34" i="8"/>
  <c r="CB34" i="8"/>
  <c r="CC34" i="8"/>
  <c r="CD34" i="8"/>
  <c r="BY35" i="8"/>
  <c r="BZ35" i="8"/>
  <c r="CA35" i="8"/>
  <c r="CB35" i="8"/>
  <c r="CC35" i="8"/>
  <c r="CD35" i="8"/>
  <c r="BY36" i="8"/>
  <c r="BZ36" i="8"/>
  <c r="CA36" i="8"/>
  <c r="CB36" i="8"/>
  <c r="CC36" i="8"/>
  <c r="CD36" i="8"/>
  <c r="BY37" i="8"/>
  <c r="BZ37" i="8"/>
  <c r="CA37" i="8"/>
  <c r="CB37" i="8"/>
  <c r="CC37" i="8"/>
  <c r="CD37" i="8"/>
  <c r="BY38" i="8"/>
  <c r="BZ38" i="8"/>
  <c r="CA38" i="8"/>
  <c r="CB38" i="8"/>
  <c r="CC38" i="8"/>
  <c r="CD38" i="8"/>
  <c r="BY39" i="8"/>
  <c r="BZ39" i="8"/>
  <c r="CA39" i="8"/>
  <c r="CB39" i="8"/>
  <c r="CC39" i="8"/>
  <c r="CD39" i="8"/>
  <c r="BY40" i="8"/>
  <c r="BZ40" i="8"/>
  <c r="CA40" i="8"/>
  <c r="CB40" i="8"/>
  <c r="CC40" i="8"/>
  <c r="CD40" i="8"/>
  <c r="BY41" i="8"/>
  <c r="BZ41" i="8"/>
  <c r="CA41" i="8"/>
  <c r="CB41" i="8"/>
  <c r="CC41" i="8"/>
  <c r="CD41" i="8"/>
  <c r="BY42" i="8"/>
  <c r="BZ42" i="8"/>
  <c r="CA42" i="8"/>
  <c r="CB42" i="8"/>
  <c r="CC42" i="8"/>
  <c r="CD42" i="8"/>
  <c r="BY43" i="8"/>
  <c r="BZ43" i="8"/>
  <c r="CA43" i="8"/>
  <c r="CB43" i="8"/>
  <c r="CC43" i="8"/>
  <c r="CD43" i="8"/>
  <c r="BY44" i="8"/>
  <c r="BZ44" i="8"/>
  <c r="CA44" i="8"/>
  <c r="CB44" i="8"/>
  <c r="CC44" i="8"/>
  <c r="CD44" i="8"/>
  <c r="BY45" i="8"/>
  <c r="BZ45" i="8"/>
  <c r="CA45" i="8"/>
  <c r="CB45" i="8"/>
  <c r="CC45" i="8"/>
  <c r="CD45" i="8"/>
  <c r="BY46" i="8"/>
  <c r="BZ46" i="8"/>
  <c r="CA46" i="8"/>
  <c r="CB46" i="8"/>
  <c r="CC46" i="8"/>
  <c r="CD46" i="8"/>
  <c r="BY47" i="8"/>
  <c r="BZ47" i="8"/>
  <c r="CA47" i="8"/>
  <c r="CB47" i="8"/>
  <c r="CC47" i="8"/>
  <c r="CD47" i="8"/>
  <c r="BY48" i="8"/>
  <c r="BZ48" i="8"/>
  <c r="CA48" i="8"/>
  <c r="CB48" i="8"/>
  <c r="CC48" i="8"/>
  <c r="CD48" i="8"/>
  <c r="BY49" i="8"/>
  <c r="BZ49" i="8"/>
  <c r="CA49" i="8"/>
  <c r="CB49" i="8"/>
  <c r="CC49" i="8"/>
  <c r="CD49" i="8"/>
  <c r="BY50" i="8"/>
  <c r="BZ50" i="8"/>
  <c r="CA50" i="8"/>
  <c r="CB50" i="8"/>
  <c r="CC50" i="8"/>
  <c r="CD50" i="8"/>
  <c r="BY51" i="8"/>
  <c r="BZ51" i="8"/>
  <c r="CA51" i="8"/>
  <c r="CB51" i="8"/>
  <c r="CC51" i="8"/>
  <c r="CD51" i="8"/>
  <c r="BY52" i="8"/>
  <c r="BZ52" i="8"/>
  <c r="CA52" i="8"/>
  <c r="CB52" i="8"/>
  <c r="CC52" i="8"/>
  <c r="CD52" i="8"/>
  <c r="BY53" i="8"/>
  <c r="BZ53" i="8"/>
  <c r="CA53" i="8"/>
  <c r="CB53" i="8"/>
  <c r="CC53" i="8"/>
  <c r="CD53" i="8"/>
  <c r="BY54" i="8"/>
  <c r="BZ54" i="8"/>
  <c r="CA54" i="8"/>
  <c r="CB54" i="8"/>
  <c r="CC54" i="8"/>
  <c r="CD54" i="8"/>
  <c r="CD4" i="8"/>
  <c r="CC4" i="8"/>
  <c r="CB4" i="8"/>
  <c r="CA4" i="8"/>
  <c r="BZ4" i="8"/>
  <c r="BY4" i="8"/>
  <c r="B78" i="8"/>
  <c r="B62" i="8"/>
  <c r="U5" i="13"/>
  <c r="U6" i="13"/>
  <c r="U7" i="13"/>
  <c r="U4" i="13"/>
  <c r="W5" i="13"/>
  <c r="W6" i="13"/>
  <c r="W7" i="13"/>
  <c r="W4" i="13"/>
  <c r="BY5" i="2"/>
  <c r="BZ5" i="2"/>
  <c r="CA5" i="2"/>
  <c r="CB5" i="2"/>
  <c r="CC5" i="2"/>
  <c r="CD5" i="2"/>
  <c r="BY6" i="2"/>
  <c r="BZ6" i="2"/>
  <c r="CA6" i="2"/>
  <c r="CB6" i="2"/>
  <c r="CC6" i="2"/>
  <c r="CD6" i="2"/>
  <c r="BY7" i="2"/>
  <c r="BZ7" i="2"/>
  <c r="CA7" i="2"/>
  <c r="CB7" i="2"/>
  <c r="CC7" i="2"/>
  <c r="CD7" i="2"/>
  <c r="BY8" i="2"/>
  <c r="BZ8" i="2"/>
  <c r="CA8" i="2"/>
  <c r="CB8" i="2"/>
  <c r="CC8" i="2"/>
  <c r="CD8" i="2"/>
  <c r="BY9" i="2"/>
  <c r="BZ9" i="2"/>
  <c r="CA9" i="2"/>
  <c r="CB9" i="2"/>
  <c r="CC9" i="2"/>
  <c r="CD9" i="2"/>
  <c r="BY10" i="2"/>
  <c r="BZ10" i="2"/>
  <c r="CA10" i="2"/>
  <c r="CB10" i="2"/>
  <c r="CC10" i="2"/>
  <c r="CD10" i="2"/>
  <c r="BY11" i="2"/>
  <c r="BZ11" i="2"/>
  <c r="CA11" i="2"/>
  <c r="CB11" i="2"/>
  <c r="CC11" i="2"/>
  <c r="CD11" i="2"/>
  <c r="BY12" i="2"/>
  <c r="BZ12" i="2"/>
  <c r="CA12" i="2"/>
  <c r="CB12" i="2"/>
  <c r="CC12" i="2"/>
  <c r="CD12" i="2"/>
  <c r="BY13" i="2"/>
  <c r="BZ13" i="2"/>
  <c r="CA13" i="2"/>
  <c r="CB13" i="2"/>
  <c r="CC13" i="2"/>
  <c r="CD13" i="2"/>
  <c r="BY14" i="2"/>
  <c r="BZ14" i="2"/>
  <c r="CA14" i="2"/>
  <c r="CB14" i="2"/>
  <c r="CC14" i="2"/>
  <c r="CD14" i="2"/>
  <c r="BY15" i="2"/>
  <c r="BZ15" i="2"/>
  <c r="CA15" i="2"/>
  <c r="CB15" i="2"/>
  <c r="CC15" i="2"/>
  <c r="CD15" i="2"/>
  <c r="BY16" i="2"/>
  <c r="BZ16" i="2"/>
  <c r="CA16" i="2"/>
  <c r="CB16" i="2"/>
  <c r="CC16" i="2"/>
  <c r="CD16" i="2"/>
  <c r="BY17" i="2"/>
  <c r="BZ17" i="2"/>
  <c r="CA17" i="2"/>
  <c r="CB17" i="2"/>
  <c r="CC17" i="2"/>
  <c r="CD17" i="2"/>
  <c r="BY18" i="2"/>
  <c r="BZ18" i="2"/>
  <c r="CA18" i="2"/>
  <c r="CB18" i="2"/>
  <c r="CC18" i="2"/>
  <c r="CD18" i="2"/>
  <c r="BY19" i="2"/>
  <c r="BZ19" i="2"/>
  <c r="CA19" i="2"/>
  <c r="CB19" i="2"/>
  <c r="CC19" i="2"/>
  <c r="CD19" i="2"/>
  <c r="BY20" i="2"/>
  <c r="BZ20" i="2"/>
  <c r="CA20" i="2"/>
  <c r="CB20" i="2"/>
  <c r="CC20" i="2"/>
  <c r="CD20" i="2"/>
  <c r="BY21" i="2"/>
  <c r="BZ21" i="2"/>
  <c r="CA21" i="2"/>
  <c r="CB21" i="2"/>
  <c r="CC21" i="2"/>
  <c r="CD21" i="2"/>
  <c r="BY22" i="2"/>
  <c r="BZ22" i="2"/>
  <c r="CA22" i="2"/>
  <c r="CB22" i="2"/>
  <c r="CC22" i="2"/>
  <c r="CD22" i="2"/>
  <c r="BY23" i="2"/>
  <c r="BZ23" i="2"/>
  <c r="CA23" i="2"/>
  <c r="CB23" i="2"/>
  <c r="CC23" i="2"/>
  <c r="CD23" i="2"/>
  <c r="BY24" i="2"/>
  <c r="BZ24" i="2"/>
  <c r="CA24" i="2"/>
  <c r="CB24" i="2"/>
  <c r="CC24" i="2"/>
  <c r="CD24" i="2"/>
  <c r="BY25" i="2"/>
  <c r="BZ25" i="2"/>
  <c r="CA25" i="2"/>
  <c r="CB25" i="2"/>
  <c r="CC25" i="2"/>
  <c r="CD25" i="2"/>
  <c r="BY26" i="2"/>
  <c r="BZ26" i="2"/>
  <c r="CA26" i="2"/>
  <c r="CB26" i="2"/>
  <c r="CC26" i="2"/>
  <c r="CD26" i="2"/>
  <c r="BY27" i="2"/>
  <c r="BZ27" i="2"/>
  <c r="CA27" i="2"/>
  <c r="CB27" i="2"/>
  <c r="CC27" i="2"/>
  <c r="CD27" i="2"/>
  <c r="BY28" i="2"/>
  <c r="BZ28" i="2"/>
  <c r="CA28" i="2"/>
  <c r="CB28" i="2"/>
  <c r="CC28" i="2"/>
  <c r="CD28" i="2"/>
  <c r="BY29" i="2"/>
  <c r="BZ29" i="2"/>
  <c r="CA29" i="2"/>
  <c r="CB29" i="2"/>
  <c r="CC29" i="2"/>
  <c r="CD29" i="2"/>
  <c r="BY30" i="2"/>
  <c r="BZ30" i="2"/>
  <c r="CA30" i="2"/>
  <c r="CB30" i="2"/>
  <c r="CC30" i="2"/>
  <c r="CD30" i="2"/>
  <c r="BY31" i="2"/>
  <c r="BZ31" i="2"/>
  <c r="CA31" i="2"/>
  <c r="CB31" i="2"/>
  <c r="CC31" i="2"/>
  <c r="CD31" i="2"/>
  <c r="BY32" i="2"/>
  <c r="BZ32" i="2"/>
  <c r="CA32" i="2"/>
  <c r="CB32" i="2"/>
  <c r="CC32" i="2"/>
  <c r="CD32" i="2"/>
  <c r="BY33" i="2"/>
  <c r="BZ33" i="2"/>
  <c r="CA33" i="2"/>
  <c r="CB33" i="2"/>
  <c r="CC33" i="2"/>
  <c r="CD33" i="2"/>
  <c r="BY34" i="2"/>
  <c r="BZ34" i="2"/>
  <c r="CA34" i="2"/>
  <c r="CB34" i="2"/>
  <c r="CC34" i="2"/>
  <c r="CD34" i="2"/>
  <c r="BY35" i="2"/>
  <c r="BZ35" i="2"/>
  <c r="CA35" i="2"/>
  <c r="CB35" i="2"/>
  <c r="CC35" i="2"/>
  <c r="CD35" i="2"/>
  <c r="BY36" i="2"/>
  <c r="BZ36" i="2"/>
  <c r="CA36" i="2"/>
  <c r="CB36" i="2"/>
  <c r="CC36" i="2"/>
  <c r="CD36" i="2"/>
  <c r="BY37" i="2"/>
  <c r="BZ37" i="2"/>
  <c r="CA37" i="2"/>
  <c r="CB37" i="2"/>
  <c r="CC37" i="2"/>
  <c r="CD37" i="2"/>
  <c r="BY38" i="2"/>
  <c r="BZ38" i="2"/>
  <c r="CA38" i="2"/>
  <c r="CB38" i="2"/>
  <c r="CC38" i="2"/>
  <c r="CD38" i="2"/>
  <c r="BY39" i="2"/>
  <c r="BZ39" i="2"/>
  <c r="CA39" i="2"/>
  <c r="CB39" i="2"/>
  <c r="CC39" i="2"/>
  <c r="CD39" i="2"/>
  <c r="BY40" i="2"/>
  <c r="BZ40" i="2"/>
  <c r="CA40" i="2"/>
  <c r="CB40" i="2"/>
  <c r="CC40" i="2"/>
  <c r="CD40" i="2"/>
  <c r="BY41" i="2"/>
  <c r="BZ41" i="2"/>
  <c r="CA41" i="2"/>
  <c r="CB41" i="2"/>
  <c r="CC41" i="2"/>
  <c r="CD41" i="2"/>
  <c r="BY42" i="2"/>
  <c r="BZ42" i="2"/>
  <c r="CA42" i="2"/>
  <c r="CB42" i="2"/>
  <c r="CC42" i="2"/>
  <c r="CD42" i="2"/>
  <c r="BY43" i="2"/>
  <c r="BZ43" i="2"/>
  <c r="CA43" i="2"/>
  <c r="CB43" i="2"/>
  <c r="CC43" i="2"/>
  <c r="CD43" i="2"/>
  <c r="BY44" i="2"/>
  <c r="BZ44" i="2"/>
  <c r="CA44" i="2"/>
  <c r="CB44" i="2"/>
  <c r="CC44" i="2"/>
  <c r="CD44" i="2"/>
  <c r="BY45" i="2"/>
  <c r="BZ45" i="2"/>
  <c r="CA45" i="2"/>
  <c r="CB45" i="2"/>
  <c r="CC45" i="2"/>
  <c r="CD45" i="2"/>
  <c r="BY46" i="2"/>
  <c r="BZ46" i="2"/>
  <c r="CA46" i="2"/>
  <c r="CB46" i="2"/>
  <c r="CC46" i="2"/>
  <c r="CD46" i="2"/>
  <c r="BY47" i="2"/>
  <c r="BZ47" i="2"/>
  <c r="CA47" i="2"/>
  <c r="CB47" i="2"/>
  <c r="CC47" i="2"/>
  <c r="CD47" i="2"/>
  <c r="BY48" i="2"/>
  <c r="BZ48" i="2"/>
  <c r="CA48" i="2"/>
  <c r="CB48" i="2"/>
  <c r="CC48" i="2"/>
  <c r="CD48" i="2"/>
  <c r="BY49" i="2"/>
  <c r="BZ49" i="2"/>
  <c r="CA49" i="2"/>
  <c r="CB49" i="2"/>
  <c r="CC49" i="2"/>
  <c r="CD49" i="2"/>
  <c r="BY50" i="2"/>
  <c r="BZ50" i="2"/>
  <c r="CA50" i="2"/>
  <c r="CB50" i="2"/>
  <c r="CC50" i="2"/>
  <c r="CD50" i="2"/>
  <c r="BY51" i="2"/>
  <c r="BZ51" i="2"/>
  <c r="CA51" i="2"/>
  <c r="CB51" i="2"/>
  <c r="CC51" i="2"/>
  <c r="CD51" i="2"/>
  <c r="BY52" i="2"/>
  <c r="BZ52" i="2"/>
  <c r="CA52" i="2"/>
  <c r="CB52" i="2"/>
  <c r="CC52" i="2"/>
  <c r="CD52" i="2"/>
  <c r="BY53" i="2"/>
  <c r="BZ53" i="2"/>
  <c r="CA53" i="2"/>
  <c r="CB53" i="2"/>
  <c r="CC53" i="2"/>
  <c r="CD53" i="2"/>
  <c r="BY54" i="2"/>
  <c r="BZ54" i="2"/>
  <c r="CA54" i="2"/>
  <c r="CB54" i="2"/>
  <c r="CC54" i="2"/>
  <c r="CD54" i="2"/>
  <c r="CD4" i="2"/>
  <c r="CC4" i="2"/>
  <c r="CB4" i="2"/>
  <c r="CA4" i="2"/>
  <c r="BZ4" i="2"/>
  <c r="BY4" i="2"/>
  <c r="B80" i="2"/>
  <c r="B71" i="8" l="1"/>
  <c r="B77" i="8"/>
  <c r="B76" i="8"/>
  <c r="BK16" i="13"/>
  <c r="BI16" i="13"/>
  <c r="BE16" i="13"/>
  <c r="BJ16" i="13"/>
  <c r="BK13" i="13"/>
  <c r="F82" i="1" s="1"/>
  <c r="BI13" i="13"/>
  <c r="BJ13" i="13"/>
  <c r="D82" i="1" s="1"/>
  <c r="BE13" i="13"/>
  <c r="BK15" i="13"/>
  <c r="BI15" i="13"/>
  <c r="BE15" i="13"/>
  <c r="BJ15" i="13"/>
  <c r="BK14" i="13"/>
  <c r="BI14" i="13"/>
  <c r="BE14" i="13"/>
  <c r="BJ14" i="13"/>
  <c r="B92" i="9"/>
  <c r="B90" i="9"/>
  <c r="B175" i="23"/>
  <c r="B194" i="23" s="1"/>
  <c r="CU52" i="16"/>
  <c r="CU44" i="16"/>
  <c r="CU37" i="16"/>
  <c r="CU29" i="16"/>
  <c r="CU21" i="16"/>
  <c r="CU13" i="16"/>
  <c r="CU5" i="16"/>
  <c r="CU4" i="16"/>
  <c r="CU49" i="16"/>
  <c r="CU34" i="16"/>
  <c r="CU50" i="16"/>
  <c r="CU42" i="16"/>
  <c r="CU35" i="16"/>
  <c r="CU27" i="16"/>
  <c r="CU19" i="16"/>
  <c r="CU11" i="16"/>
  <c r="CU41" i="16"/>
  <c r="CU26" i="16"/>
  <c r="CU18" i="16"/>
  <c r="CU10" i="16"/>
  <c r="CU51" i="16"/>
  <c r="CU43" i="16"/>
  <c r="CU36" i="16"/>
  <c r="CU28" i="16"/>
  <c r="CU20" i="16"/>
  <c r="CU12" i="16"/>
  <c r="CU22" i="16"/>
  <c r="CU54" i="16"/>
  <c r="CU46" i="16"/>
  <c r="CU38" i="16"/>
  <c r="CU31" i="16"/>
  <c r="CU23" i="16"/>
  <c r="CU15" i="16"/>
  <c r="CU7" i="16"/>
  <c r="CU53" i="16"/>
  <c r="CU30" i="16"/>
  <c r="CU47" i="16"/>
  <c r="CU39" i="16"/>
  <c r="CU32" i="16"/>
  <c r="CU24" i="16"/>
  <c r="CU16" i="16"/>
  <c r="CU8" i="16"/>
  <c r="CU45" i="16"/>
  <c r="CU14" i="16"/>
  <c r="CU6" i="16"/>
  <c r="CU48" i="16"/>
  <c r="CU40" i="16"/>
  <c r="CU33" i="16"/>
  <c r="CU25" i="16"/>
  <c r="CU17" i="16"/>
  <c r="CU9" i="16"/>
  <c r="CR28" i="8"/>
  <c r="CR5" i="8"/>
  <c r="CR4" i="8"/>
  <c r="CR45" i="8"/>
  <c r="CR9" i="9"/>
  <c r="CR42" i="8"/>
  <c r="CR34" i="8"/>
  <c r="CR52" i="8"/>
  <c r="CR12" i="8"/>
  <c r="CR29" i="8"/>
  <c r="CR40" i="8"/>
  <c r="CR9" i="8"/>
  <c r="CR14" i="8"/>
  <c r="CR44" i="8"/>
  <c r="CR49" i="8"/>
  <c r="CR20" i="8"/>
  <c r="CR37" i="8"/>
  <c r="CR13" i="8"/>
  <c r="CR54" i="8"/>
  <c r="CR36" i="8"/>
  <c r="CR32" i="8"/>
  <c r="CR27" i="8"/>
  <c r="CR23" i="8"/>
  <c r="CR10" i="8"/>
  <c r="CR46" i="8"/>
  <c r="CR41" i="8"/>
  <c r="CR11" i="8"/>
  <c r="CR25" i="9"/>
  <c r="CR17" i="9"/>
  <c r="CR30" i="8"/>
  <c r="CR25" i="8"/>
  <c r="CR21" i="8"/>
  <c r="CR16" i="8"/>
  <c r="CR7" i="8"/>
  <c r="CR48" i="8"/>
  <c r="CR43" i="8"/>
  <c r="CR39" i="8"/>
  <c r="CR26" i="8"/>
  <c r="CR17" i="8"/>
  <c r="CR8" i="8"/>
  <c r="CR53" i="8"/>
  <c r="CR35" i="8"/>
  <c r="CR31" i="8"/>
  <c r="CR22" i="8"/>
  <c r="CR50" i="8"/>
  <c r="CR18" i="8"/>
  <c r="CR51" i="8"/>
  <c r="CR47" i="8"/>
  <c r="CR38" i="8"/>
  <c r="CR33" i="8"/>
  <c r="CR24" i="8"/>
  <c r="CR19" i="8"/>
  <c r="CR15" i="8"/>
  <c r="CR6" i="8"/>
  <c r="CR26" i="9"/>
  <c r="CR10" i="9"/>
  <c r="CR11" i="9"/>
  <c r="CR41" i="9"/>
  <c r="CR33" i="9"/>
  <c r="CR28" i="9"/>
  <c r="CR20" i="9"/>
  <c r="CR12" i="9"/>
  <c r="CR29" i="9"/>
  <c r="CR21" i="9"/>
  <c r="CR13" i="9"/>
  <c r="CR5" i="9"/>
  <c r="CR18" i="9"/>
  <c r="CR27" i="9"/>
  <c r="CR14" i="9"/>
  <c r="CR23" i="9"/>
  <c r="CR15" i="9"/>
  <c r="CR7" i="9"/>
  <c r="CR19" i="9"/>
  <c r="CR22" i="9"/>
  <c r="CR6" i="9"/>
  <c r="CR24" i="9"/>
  <c r="CR16" i="9"/>
  <c r="CR8" i="9"/>
  <c r="CR42" i="9"/>
  <c r="CR4" i="9"/>
  <c r="CR39" i="9"/>
  <c r="CR31" i="9"/>
  <c r="CR40" i="9"/>
  <c r="CR32" i="9"/>
  <c r="CR35" i="9"/>
  <c r="CR44" i="9"/>
  <c r="CR36" i="9"/>
  <c r="CR45" i="9"/>
  <c r="CR37" i="9"/>
  <c r="CR34" i="9"/>
  <c r="CR43" i="9"/>
  <c r="CR50" i="9"/>
  <c r="CR38" i="9"/>
  <c r="CR51" i="9"/>
  <c r="CR30" i="9"/>
  <c r="CR54" i="9"/>
  <c r="CR46" i="9"/>
  <c r="CR52" i="9"/>
  <c r="CR53" i="9"/>
  <c r="CR47" i="9"/>
  <c r="CR48" i="9"/>
  <c r="CR49" i="9"/>
  <c r="B206" i="23"/>
  <c r="B63" i="8"/>
  <c r="B68" i="8"/>
  <c r="B69" i="8"/>
  <c r="B70" i="8"/>
  <c r="B72" i="8"/>
  <c r="B73" i="8"/>
  <c r="B64" i="8"/>
  <c r="B67" i="8"/>
  <c r="B119" i="25" s="1"/>
  <c r="B121" i="25" s="1"/>
  <c r="B174" i="23" l="1"/>
  <c r="B137" i="9"/>
  <c r="B186" i="23" s="1"/>
  <c r="B68" i="23"/>
  <c r="B70" i="23"/>
  <c r="B146" i="9"/>
  <c r="D84" i="1"/>
  <c r="D83" i="1"/>
  <c r="F84" i="1"/>
  <c r="F83" i="1"/>
  <c r="B191" i="23"/>
  <c r="B144" i="9"/>
  <c r="B204" i="23"/>
  <c r="B84" i="9"/>
  <c r="CL6" i="16"/>
  <c r="CL14" i="16"/>
  <c r="CL22" i="16"/>
  <c r="CL30" i="16"/>
  <c r="CL38" i="16"/>
  <c r="CL46" i="16"/>
  <c r="CL54" i="16"/>
  <c r="CL23" i="16"/>
  <c r="CL31" i="16"/>
  <c r="CL39" i="16"/>
  <c r="CL34" i="16"/>
  <c r="CL50" i="16"/>
  <c r="CL9" i="16"/>
  <c r="CL17" i="16"/>
  <c r="CL25" i="16"/>
  <c r="CL33" i="16"/>
  <c r="CL41" i="16"/>
  <c r="CL49" i="16"/>
  <c r="CL4" i="16"/>
  <c r="CL10" i="16"/>
  <c r="CL18" i="16"/>
  <c r="CL21" i="16"/>
  <c r="CL29" i="16"/>
  <c r="CL37" i="16"/>
  <c r="CL12" i="16"/>
  <c r="CL20" i="16"/>
  <c r="CL28" i="16"/>
  <c r="CL36" i="16"/>
  <c r="CL44" i="16"/>
  <c r="CL52" i="16"/>
  <c r="CL7" i="16"/>
  <c r="CL15" i="16"/>
  <c r="CL47" i="16"/>
  <c r="CL26" i="16"/>
  <c r="CL42" i="16"/>
  <c r="CL13" i="16"/>
  <c r="CL8" i="16"/>
  <c r="CL16" i="16"/>
  <c r="CL24" i="16"/>
  <c r="CL32" i="16"/>
  <c r="CL40" i="16"/>
  <c r="CL48" i="16"/>
  <c r="CL11" i="16"/>
  <c r="CL19" i="16"/>
  <c r="CL27" i="16"/>
  <c r="CL35" i="16"/>
  <c r="CL43" i="16"/>
  <c r="CL51" i="16"/>
  <c r="CL5" i="16"/>
  <c r="CL45" i="16"/>
  <c r="CL53" i="16"/>
  <c r="CB7" i="9"/>
  <c r="CB15" i="9"/>
  <c r="CB23" i="9"/>
  <c r="CB31" i="9"/>
  <c r="CB39" i="9"/>
  <c r="CB47" i="9"/>
  <c r="CB8" i="9"/>
  <c r="CB40" i="9"/>
  <c r="CB11" i="9"/>
  <c r="CB10" i="9"/>
  <c r="CB18" i="9"/>
  <c r="CB26" i="9"/>
  <c r="CB34" i="9"/>
  <c r="CB42" i="9"/>
  <c r="CB50" i="9"/>
  <c r="CB48" i="9"/>
  <c r="CB35" i="9"/>
  <c r="CB5" i="9"/>
  <c r="CB13" i="9"/>
  <c r="CB21" i="9"/>
  <c r="CB29" i="9"/>
  <c r="CB37" i="9"/>
  <c r="CB45" i="9"/>
  <c r="CB53" i="9"/>
  <c r="CB16" i="9"/>
  <c r="CB24" i="9"/>
  <c r="CB32" i="9"/>
  <c r="CB19" i="9"/>
  <c r="CB27" i="9"/>
  <c r="CB43" i="9"/>
  <c r="CB51" i="9"/>
  <c r="CB6" i="9"/>
  <c r="CB14" i="9"/>
  <c r="CB22" i="9"/>
  <c r="CB30" i="9"/>
  <c r="CB38" i="9"/>
  <c r="CB46" i="9"/>
  <c r="CB54" i="9"/>
  <c r="CB9" i="9"/>
  <c r="CB17" i="9"/>
  <c r="CB25" i="9"/>
  <c r="CB33" i="9"/>
  <c r="CB41" i="9"/>
  <c r="CB49" i="9"/>
  <c r="CB4" i="9"/>
  <c r="CB12" i="9"/>
  <c r="CB20" i="9"/>
  <c r="CB28" i="9"/>
  <c r="CB36" i="9"/>
  <c r="CB44" i="9"/>
  <c r="CB52" i="9"/>
  <c r="CJ12" i="8"/>
  <c r="CJ20" i="8"/>
  <c r="CJ28" i="8"/>
  <c r="CJ36" i="8"/>
  <c r="CJ44" i="8"/>
  <c r="CJ52" i="8"/>
  <c r="CJ37" i="8"/>
  <c r="CJ7" i="8"/>
  <c r="CJ15" i="8"/>
  <c r="CJ23" i="8"/>
  <c r="CJ31" i="8"/>
  <c r="CJ39" i="8"/>
  <c r="CJ47" i="8"/>
  <c r="CJ13" i="8"/>
  <c r="CJ29" i="8"/>
  <c r="CJ10" i="8"/>
  <c r="CJ18" i="8"/>
  <c r="CJ26" i="8"/>
  <c r="CJ34" i="8"/>
  <c r="CJ42" i="8"/>
  <c r="CJ50" i="8"/>
  <c r="CJ5" i="8"/>
  <c r="CJ21" i="8"/>
  <c r="CJ45" i="8"/>
  <c r="CJ53" i="8"/>
  <c r="CJ8" i="8"/>
  <c r="CJ16" i="8"/>
  <c r="CJ24" i="8"/>
  <c r="CJ32" i="8"/>
  <c r="CJ40" i="8"/>
  <c r="CJ48" i="8"/>
  <c r="CJ11" i="8"/>
  <c r="CJ19" i="8"/>
  <c r="CJ27" i="8"/>
  <c r="CJ35" i="8"/>
  <c r="CJ43" i="8"/>
  <c r="CJ51" i="8"/>
  <c r="CJ6" i="8"/>
  <c r="CJ14" i="8"/>
  <c r="CJ22" i="8"/>
  <c r="CJ30" i="8"/>
  <c r="CJ38" i="8"/>
  <c r="CJ46" i="8"/>
  <c r="CJ54" i="8"/>
  <c r="CJ9" i="8"/>
  <c r="CJ17" i="8"/>
  <c r="CJ25" i="8"/>
  <c r="CJ33" i="8"/>
  <c r="CJ41" i="8"/>
  <c r="CJ49" i="8"/>
  <c r="CJ4" i="8"/>
  <c r="D146" i="9" l="1"/>
  <c r="B10" i="7"/>
  <c r="P4" i="13"/>
  <c r="BB9" i="13"/>
  <c r="BC9" i="13"/>
  <c r="BB10" i="13"/>
  <c r="BC10" i="13"/>
  <c r="BB11" i="13"/>
  <c r="BC11" i="13"/>
  <c r="BC8" i="13"/>
  <c r="BB8" i="13"/>
  <c r="BB5" i="13"/>
  <c r="BC5" i="13"/>
  <c r="BB6" i="13"/>
  <c r="BC6" i="13"/>
  <c r="BB7" i="13"/>
  <c r="BC7" i="13"/>
  <c r="BC4" i="13"/>
  <c r="BB4" i="13"/>
  <c r="L7" i="13"/>
  <c r="L6" i="13"/>
  <c r="L5" i="13"/>
  <c r="L4" i="13"/>
  <c r="AU10" i="13"/>
  <c r="AU9" i="13"/>
  <c r="AU8" i="13"/>
  <c r="B63" i="2"/>
  <c r="AU7" i="13"/>
  <c r="P7" i="13"/>
  <c r="N7" i="13" s="1"/>
  <c r="P6" i="13"/>
  <c r="N6" i="13" s="1"/>
  <c r="B66" i="8" l="1"/>
  <c r="B76" i="2"/>
  <c r="B75" i="2"/>
  <c r="B66" i="2"/>
  <c r="BI7" i="13"/>
  <c r="BK7" i="13"/>
  <c r="BI11" i="13"/>
  <c r="BK11" i="13"/>
  <c r="BE11" i="13"/>
  <c r="BJ11" i="13"/>
  <c r="BI6" i="13"/>
  <c r="BK6" i="13"/>
  <c r="BI10" i="13"/>
  <c r="BK10" i="13"/>
  <c r="BE10" i="13"/>
  <c r="BJ10" i="13"/>
  <c r="BI9" i="13"/>
  <c r="BK9" i="13"/>
  <c r="BE9" i="13"/>
  <c r="BJ9" i="13"/>
  <c r="BK4" i="13"/>
  <c r="BI4" i="13"/>
  <c r="AY24" i="13" s="1"/>
  <c r="BJ8" i="13"/>
  <c r="BK8" i="13"/>
  <c r="BI8" i="13"/>
  <c r="BE8" i="13"/>
  <c r="BI5" i="13"/>
  <c r="BK5" i="13"/>
  <c r="BE7" i="13"/>
  <c r="BE6" i="13"/>
  <c r="BE4" i="13"/>
  <c r="BE5" i="13"/>
  <c r="B71" i="2"/>
  <c r="B70" i="2"/>
  <c r="B68" i="2"/>
  <c r="B123" i="22" s="1"/>
  <c r="B125" i="22" s="1"/>
  <c r="B129" i="22" s="1"/>
  <c r="B67" i="2"/>
  <c r="B72" i="2"/>
  <c r="B69" i="2"/>
  <c r="B64" i="2"/>
  <c r="B74" i="2"/>
  <c r="B73" i="2"/>
  <c r="B65" i="2"/>
  <c r="G5" i="13"/>
  <c r="B110" i="8" s="1"/>
  <c r="E110" i="8" s="1"/>
  <c r="G6" i="13"/>
  <c r="B118" i="8" s="1"/>
  <c r="E118" i="8" s="1"/>
  <c r="G7" i="13"/>
  <c r="B94" i="8" s="1"/>
  <c r="E94" i="8" s="1"/>
  <c r="G4" i="13"/>
  <c r="B102" i="8" s="1"/>
  <c r="E102" i="8" s="1"/>
  <c r="B70" i="16"/>
  <c r="B68" i="16"/>
  <c r="B67" i="16"/>
  <c r="B71" i="9"/>
  <c r="B69" i="9"/>
  <c r="B68" i="9"/>
  <c r="B66" i="9"/>
  <c r="B65" i="16"/>
  <c r="B95" i="9" l="1"/>
  <c r="F79" i="1" s="1"/>
  <c r="B97" i="9"/>
  <c r="F80" i="1" s="1"/>
  <c r="B94" i="9"/>
  <c r="D79" i="1" s="1"/>
  <c r="B96" i="9"/>
  <c r="D81" i="1" s="1"/>
  <c r="AY23" i="13"/>
  <c r="B74" i="8"/>
  <c r="B78" i="2"/>
  <c r="B79" i="2"/>
  <c r="B75" i="8"/>
  <c r="B65" i="8"/>
  <c r="B71" i="16"/>
  <c r="B83" i="26" s="1"/>
  <c r="B72" i="9"/>
  <c r="B86" i="23" s="1"/>
  <c r="CJ15" i="2"/>
  <c r="CJ23" i="2"/>
  <c r="CJ31" i="2"/>
  <c r="CJ39" i="2"/>
  <c r="CJ47" i="2"/>
  <c r="CJ5" i="2"/>
  <c r="CJ13" i="2"/>
  <c r="CJ26" i="2"/>
  <c r="CJ38" i="2"/>
  <c r="CJ16" i="2"/>
  <c r="CJ24" i="2"/>
  <c r="CJ32" i="2"/>
  <c r="CJ40" i="2"/>
  <c r="CJ48" i="2"/>
  <c r="CJ6" i="2"/>
  <c r="CJ14" i="2"/>
  <c r="CJ34" i="2"/>
  <c r="CJ46" i="2"/>
  <c r="CJ17" i="2"/>
  <c r="CJ25" i="2"/>
  <c r="CJ33" i="2"/>
  <c r="CJ41" i="2"/>
  <c r="CJ49" i="2"/>
  <c r="CJ7" i="2"/>
  <c r="CJ4" i="2"/>
  <c r="CJ18" i="2"/>
  <c r="CJ42" i="2"/>
  <c r="CJ50" i="2"/>
  <c r="CJ8" i="2"/>
  <c r="CJ22" i="2"/>
  <c r="CJ19" i="2"/>
  <c r="CJ27" i="2"/>
  <c r="CJ35" i="2"/>
  <c r="CJ43" i="2"/>
  <c r="CJ51" i="2"/>
  <c r="CJ9" i="2"/>
  <c r="CJ20" i="2"/>
  <c r="CJ28" i="2"/>
  <c r="CJ36" i="2"/>
  <c r="CJ44" i="2"/>
  <c r="CJ52" i="2"/>
  <c r="CJ10" i="2"/>
  <c r="CJ21" i="2"/>
  <c r="CJ29" i="2"/>
  <c r="CJ37" i="2"/>
  <c r="CJ45" i="2"/>
  <c r="CJ53" i="2"/>
  <c r="CJ11" i="2"/>
  <c r="CJ30" i="2"/>
  <c r="CJ54" i="2"/>
  <c r="CJ12" i="2"/>
  <c r="B69" i="16"/>
  <c r="B81" i="26" s="1"/>
  <c r="B70" i="9"/>
  <c r="B84" i="23" s="1"/>
  <c r="L28" i="15"/>
  <c r="L27" i="15"/>
  <c r="L26" i="15"/>
  <c r="L25" i="15"/>
  <c r="B61" i="2"/>
  <c r="B60" i="8"/>
  <c r="F81" i="1" l="1"/>
  <c r="D80" i="1"/>
  <c r="F77" i="1"/>
  <c r="F78" i="1"/>
  <c r="D77" i="1"/>
  <c r="D78" i="1"/>
  <c r="B41" i="2"/>
  <c r="B53" i="2"/>
  <c r="B51" i="2"/>
  <c r="B49" i="2"/>
  <c r="B47" i="2"/>
  <c r="B45" i="2"/>
  <c r="B43" i="2"/>
  <c r="B40" i="8"/>
  <c r="B42" i="8"/>
  <c r="B52" i="8"/>
  <c r="B50" i="8"/>
  <c r="B48" i="8"/>
  <c r="B46" i="8"/>
  <c r="B44" i="8"/>
  <c r="B48" i="16"/>
  <c r="B46" i="16"/>
  <c r="B44" i="16"/>
  <c r="B42" i="16"/>
  <c r="B50" i="16"/>
  <c r="B52" i="16"/>
  <c r="B54" i="16"/>
  <c r="B42" i="9"/>
  <c r="B54" i="9"/>
  <c r="B52" i="9"/>
  <c r="B50" i="9"/>
  <c r="B46" i="9"/>
  <c r="B48" i="9"/>
  <c r="B44" i="9"/>
  <c r="AR4" i="16"/>
  <c r="AQ4" i="16"/>
  <c r="AO4" i="16"/>
  <c r="B23" i="26"/>
  <c r="B51" i="16"/>
  <c r="B153" i="26" s="1"/>
  <c r="B49" i="16"/>
  <c r="B150" i="26" s="1"/>
  <c r="B47" i="16"/>
  <c r="B147" i="26" s="1"/>
  <c r="B45" i="16"/>
  <c r="B144" i="26" s="1"/>
  <c r="B51" i="9"/>
  <c r="B152" i="23" s="1"/>
  <c r="B49" i="9"/>
  <c r="B149" i="23" s="1"/>
  <c r="B47" i="9"/>
  <c r="B146" i="23" s="1"/>
  <c r="B45" i="9"/>
  <c r="B143" i="23" s="1"/>
  <c r="H78" i="1" l="1"/>
  <c r="E78" i="1" s="1"/>
  <c r="H77" i="1"/>
  <c r="E77" i="1" s="1"/>
  <c r="H82" i="1"/>
  <c r="E82" i="1" s="1"/>
  <c r="H83" i="1"/>
  <c r="E83" i="1" s="1"/>
  <c r="H84" i="1"/>
  <c r="E84" i="1" s="1"/>
  <c r="H79" i="1"/>
  <c r="E79" i="1" s="1"/>
  <c r="H80" i="1"/>
  <c r="E80" i="1" s="1"/>
  <c r="H81" i="1"/>
  <c r="E81" i="1" s="1"/>
  <c r="B21" i="23"/>
  <c r="B22" i="26"/>
  <c r="B22" i="23"/>
  <c r="AD5" i="9"/>
  <c r="AF5" i="9"/>
  <c r="AH5" i="9"/>
  <c r="AJ5" i="9"/>
  <c r="AD6" i="9"/>
  <c r="AF6" i="9"/>
  <c r="AH6" i="9"/>
  <c r="AJ6" i="9"/>
  <c r="AD7" i="9"/>
  <c r="AF7" i="9"/>
  <c r="AH7" i="9"/>
  <c r="AJ7" i="9"/>
  <c r="AD8" i="9"/>
  <c r="AF8" i="9"/>
  <c r="AH8" i="9"/>
  <c r="AJ8" i="9"/>
  <c r="AD9" i="9"/>
  <c r="AF9" i="9"/>
  <c r="AH9" i="9"/>
  <c r="AJ9" i="9"/>
  <c r="AD10" i="9"/>
  <c r="AF10" i="9"/>
  <c r="AH10" i="9"/>
  <c r="AJ10" i="9"/>
  <c r="AD11" i="9"/>
  <c r="AF11" i="9"/>
  <c r="AH11" i="9"/>
  <c r="AJ11" i="9"/>
  <c r="AD12" i="9"/>
  <c r="AF12" i="9"/>
  <c r="AH12" i="9"/>
  <c r="AJ12" i="9"/>
  <c r="AD13" i="9"/>
  <c r="AF13" i="9"/>
  <c r="AH13" i="9"/>
  <c r="AJ13" i="9"/>
  <c r="AD14" i="9"/>
  <c r="AF14" i="9"/>
  <c r="AH14" i="9"/>
  <c r="AJ14" i="9"/>
  <c r="AD15" i="9"/>
  <c r="AF15" i="9"/>
  <c r="AH15" i="9"/>
  <c r="AJ15" i="9"/>
  <c r="AD16" i="9"/>
  <c r="AF16" i="9"/>
  <c r="AH16" i="9"/>
  <c r="AJ16" i="9"/>
  <c r="AD17" i="9"/>
  <c r="AF17" i="9"/>
  <c r="AH17" i="9"/>
  <c r="AJ17" i="9"/>
  <c r="AD18" i="9"/>
  <c r="AF18" i="9"/>
  <c r="AH18" i="9"/>
  <c r="AJ18" i="9"/>
  <c r="AD19" i="9"/>
  <c r="AF19" i="9"/>
  <c r="AH19" i="9"/>
  <c r="AJ19" i="9"/>
  <c r="AD20" i="9"/>
  <c r="AF20" i="9"/>
  <c r="AH20" i="9"/>
  <c r="AJ20" i="9"/>
  <c r="AD21" i="9"/>
  <c r="AF21" i="9"/>
  <c r="AH21" i="9"/>
  <c r="AJ21" i="9"/>
  <c r="AD22" i="9"/>
  <c r="AF22" i="9"/>
  <c r="AH22" i="9"/>
  <c r="AJ22" i="9"/>
  <c r="AD23" i="9"/>
  <c r="AF23" i="9"/>
  <c r="AH23" i="9"/>
  <c r="AJ23" i="9"/>
  <c r="AD24" i="9"/>
  <c r="AF24" i="9"/>
  <c r="AH24" i="9"/>
  <c r="AJ24" i="9"/>
  <c r="AD25" i="9"/>
  <c r="AF25" i="9"/>
  <c r="AH25" i="9"/>
  <c r="AJ25" i="9"/>
  <c r="AD26" i="9"/>
  <c r="AF26" i="9"/>
  <c r="AH26" i="9"/>
  <c r="AJ26" i="9"/>
  <c r="AD27" i="9"/>
  <c r="AF27" i="9"/>
  <c r="AH27" i="9"/>
  <c r="AJ27" i="9"/>
  <c r="AD28" i="9"/>
  <c r="AF28" i="9"/>
  <c r="AH28" i="9"/>
  <c r="AJ28" i="9"/>
  <c r="AD29" i="9"/>
  <c r="AF29" i="9"/>
  <c r="AH29" i="9"/>
  <c r="AJ29" i="9"/>
  <c r="AD30" i="9"/>
  <c r="AF30" i="9"/>
  <c r="AH30" i="9"/>
  <c r="AJ30" i="9"/>
  <c r="AD31" i="9"/>
  <c r="AF31" i="9"/>
  <c r="AH31" i="9"/>
  <c r="AJ31" i="9"/>
  <c r="AD32" i="9"/>
  <c r="AF32" i="9"/>
  <c r="AH32" i="9"/>
  <c r="AJ32" i="9"/>
  <c r="AD33" i="9"/>
  <c r="AF33" i="9"/>
  <c r="AH33" i="9"/>
  <c r="AJ33" i="9"/>
  <c r="AD34" i="9"/>
  <c r="AF34" i="9"/>
  <c r="AH34" i="9"/>
  <c r="AJ34" i="9"/>
  <c r="AD35" i="9"/>
  <c r="AF35" i="9"/>
  <c r="AH35" i="9"/>
  <c r="AJ35" i="9"/>
  <c r="AD36" i="9"/>
  <c r="AF36" i="9"/>
  <c r="AH36" i="9"/>
  <c r="AJ36" i="9"/>
  <c r="AD37" i="9"/>
  <c r="AF37" i="9"/>
  <c r="AH37" i="9"/>
  <c r="AJ37" i="9"/>
  <c r="AD38" i="9"/>
  <c r="AF38" i="9"/>
  <c r="AH38" i="9"/>
  <c r="AJ38" i="9"/>
  <c r="AD39" i="9"/>
  <c r="AF39" i="9"/>
  <c r="AH39" i="9"/>
  <c r="AJ39" i="9"/>
  <c r="AD40" i="9"/>
  <c r="AF40" i="9"/>
  <c r="AH40" i="9"/>
  <c r="AJ40" i="9"/>
  <c r="AD41" i="9"/>
  <c r="AF41" i="9"/>
  <c r="AH41" i="9"/>
  <c r="AJ41" i="9"/>
  <c r="AD42" i="9"/>
  <c r="AF42" i="9"/>
  <c r="AH42" i="9"/>
  <c r="AJ42" i="9"/>
  <c r="AD43" i="9"/>
  <c r="AF43" i="9"/>
  <c r="AH43" i="9"/>
  <c r="AJ43" i="9"/>
  <c r="AD44" i="9"/>
  <c r="AF44" i="9"/>
  <c r="AH44" i="9"/>
  <c r="AJ44" i="9"/>
  <c r="AD45" i="9"/>
  <c r="AF45" i="9"/>
  <c r="AH45" i="9"/>
  <c r="AJ45" i="9"/>
  <c r="AD46" i="9"/>
  <c r="AF46" i="9"/>
  <c r="AH46" i="9"/>
  <c r="AJ46" i="9"/>
  <c r="AD47" i="9"/>
  <c r="AF47" i="9"/>
  <c r="AH47" i="9"/>
  <c r="AJ47" i="9"/>
  <c r="AD48" i="9"/>
  <c r="AF48" i="9"/>
  <c r="AH48" i="9"/>
  <c r="AJ48" i="9"/>
  <c r="AD49" i="9"/>
  <c r="AF49" i="9"/>
  <c r="AH49" i="9"/>
  <c r="AJ49" i="9"/>
  <c r="AD50" i="9"/>
  <c r="AF50" i="9"/>
  <c r="AH50" i="9"/>
  <c r="AJ50" i="9"/>
  <c r="AD51" i="9"/>
  <c r="AF51" i="9"/>
  <c r="AH51" i="9"/>
  <c r="AJ51" i="9"/>
  <c r="AD52" i="9"/>
  <c r="AF52" i="9"/>
  <c r="AH52" i="9"/>
  <c r="AJ52" i="9"/>
  <c r="AD53" i="9"/>
  <c r="AF53" i="9"/>
  <c r="AH53" i="9"/>
  <c r="AJ53" i="9"/>
  <c r="AD54" i="9"/>
  <c r="AF54" i="9"/>
  <c r="AH54" i="9"/>
  <c r="AJ54" i="9"/>
  <c r="AC5" i="16"/>
  <c r="AD5" i="16"/>
  <c r="AE5" i="16"/>
  <c r="AF5" i="16"/>
  <c r="AG5" i="16"/>
  <c r="AH5" i="16"/>
  <c r="AI5" i="16"/>
  <c r="AJ5" i="16"/>
  <c r="AK5" i="16"/>
  <c r="AL5" i="16"/>
  <c r="AM5" i="16"/>
  <c r="AN5" i="16"/>
  <c r="AO5" i="16"/>
  <c r="AP5" i="16"/>
  <c r="AQ5" i="16"/>
  <c r="AR5" i="16"/>
  <c r="BL5" i="16"/>
  <c r="BM5" i="16"/>
  <c r="BN5" i="16"/>
  <c r="BO5" i="16"/>
  <c r="BP5" i="16"/>
  <c r="BQ5" i="16"/>
  <c r="BR5" i="16"/>
  <c r="BS5" i="16"/>
  <c r="AC6" i="16"/>
  <c r="AD6" i="16"/>
  <c r="AE6" i="16"/>
  <c r="AF6" i="16"/>
  <c r="AG6" i="16"/>
  <c r="AH6" i="16"/>
  <c r="AI6" i="16"/>
  <c r="AJ6" i="16"/>
  <c r="AK6" i="16"/>
  <c r="AL6" i="16"/>
  <c r="AM6" i="16"/>
  <c r="AN6" i="16"/>
  <c r="AO6" i="16"/>
  <c r="AP6" i="16"/>
  <c r="AQ6" i="16"/>
  <c r="AR6" i="16"/>
  <c r="BL6" i="16"/>
  <c r="BM6" i="16"/>
  <c r="BN6" i="16"/>
  <c r="BO6" i="16"/>
  <c r="BP6" i="16"/>
  <c r="BQ6" i="16"/>
  <c r="BR6" i="16"/>
  <c r="BS6" i="16"/>
  <c r="AC7" i="16"/>
  <c r="AD7" i="16"/>
  <c r="AE7" i="16"/>
  <c r="AF7" i="16"/>
  <c r="AG7" i="16"/>
  <c r="AH7" i="16"/>
  <c r="AI7" i="16"/>
  <c r="AJ7" i="16"/>
  <c r="AK7" i="16"/>
  <c r="AL7" i="16"/>
  <c r="AM7" i="16"/>
  <c r="AN7" i="16"/>
  <c r="AO7" i="16"/>
  <c r="AP7" i="16"/>
  <c r="AQ7" i="16"/>
  <c r="AR7" i="16"/>
  <c r="BL7" i="16"/>
  <c r="BM7" i="16"/>
  <c r="BN7" i="16"/>
  <c r="BO7" i="16"/>
  <c r="BP7" i="16"/>
  <c r="BQ7" i="16"/>
  <c r="BR7" i="16"/>
  <c r="BS7" i="16"/>
  <c r="AC8" i="16"/>
  <c r="AD8" i="16"/>
  <c r="AE8" i="16"/>
  <c r="AF8" i="16"/>
  <c r="AG8" i="16"/>
  <c r="AH8" i="16"/>
  <c r="AI8" i="16"/>
  <c r="AJ8" i="16"/>
  <c r="AK8" i="16"/>
  <c r="AL8" i="16"/>
  <c r="AM8" i="16"/>
  <c r="AN8" i="16"/>
  <c r="AO8" i="16"/>
  <c r="AP8" i="16"/>
  <c r="AQ8" i="16"/>
  <c r="AR8" i="16"/>
  <c r="BL8" i="16"/>
  <c r="BM8" i="16"/>
  <c r="BN8" i="16"/>
  <c r="BO8" i="16"/>
  <c r="BP8" i="16"/>
  <c r="BQ8" i="16"/>
  <c r="BR8" i="16"/>
  <c r="BS8" i="16"/>
  <c r="AC9" i="16"/>
  <c r="AD9" i="16"/>
  <c r="AE9" i="16"/>
  <c r="AF9" i="16"/>
  <c r="AG9" i="16"/>
  <c r="AH9" i="16"/>
  <c r="AI9" i="16"/>
  <c r="AJ9" i="16"/>
  <c r="AK9" i="16"/>
  <c r="AL9" i="16"/>
  <c r="AM9" i="16"/>
  <c r="AN9" i="16"/>
  <c r="AO9" i="16"/>
  <c r="AP9" i="16"/>
  <c r="AQ9" i="16"/>
  <c r="AR9" i="16"/>
  <c r="BL9" i="16"/>
  <c r="BM9" i="16"/>
  <c r="BN9" i="16"/>
  <c r="BO9" i="16"/>
  <c r="BP9" i="16"/>
  <c r="BQ9" i="16"/>
  <c r="BR9" i="16"/>
  <c r="BS9" i="16"/>
  <c r="AC10" i="16"/>
  <c r="AD10" i="16"/>
  <c r="AE10" i="16"/>
  <c r="AF10" i="16"/>
  <c r="AG10" i="16"/>
  <c r="AH10" i="16"/>
  <c r="AI10" i="16"/>
  <c r="AJ10" i="16"/>
  <c r="AK10" i="16"/>
  <c r="AL10" i="16"/>
  <c r="AM10" i="16"/>
  <c r="AN10" i="16"/>
  <c r="AO10" i="16"/>
  <c r="AP10" i="16"/>
  <c r="AQ10" i="16"/>
  <c r="AR10" i="16"/>
  <c r="BL10" i="16"/>
  <c r="BM10" i="16"/>
  <c r="BN10" i="16"/>
  <c r="BO10" i="16"/>
  <c r="BP10" i="16"/>
  <c r="BQ10" i="16"/>
  <c r="BR10" i="16"/>
  <c r="BS10" i="16"/>
  <c r="AC11" i="16"/>
  <c r="AD11" i="16"/>
  <c r="AE11" i="16"/>
  <c r="AF11" i="16"/>
  <c r="AG11" i="16"/>
  <c r="AH11" i="16"/>
  <c r="AI11" i="16"/>
  <c r="AJ11" i="16"/>
  <c r="AK11" i="16"/>
  <c r="AL11" i="16"/>
  <c r="AM11" i="16"/>
  <c r="AN11" i="16"/>
  <c r="AO11" i="16"/>
  <c r="AP11" i="16"/>
  <c r="AQ11" i="16"/>
  <c r="AR11" i="16"/>
  <c r="BL11" i="16"/>
  <c r="BM11" i="16"/>
  <c r="BN11" i="16"/>
  <c r="BO11" i="16"/>
  <c r="BP11" i="16"/>
  <c r="BQ11" i="16"/>
  <c r="BR11" i="16"/>
  <c r="BS11" i="16"/>
  <c r="AC12" i="16"/>
  <c r="AD12" i="16"/>
  <c r="AE12" i="16"/>
  <c r="AF12" i="16"/>
  <c r="AG12" i="16"/>
  <c r="AH12" i="16"/>
  <c r="AI12" i="16"/>
  <c r="AJ12" i="16"/>
  <c r="AK12" i="16"/>
  <c r="AL12" i="16"/>
  <c r="AM12" i="16"/>
  <c r="AN12" i="16"/>
  <c r="AO12" i="16"/>
  <c r="AP12" i="16"/>
  <c r="AQ12" i="16"/>
  <c r="AR12" i="16"/>
  <c r="BL12" i="16"/>
  <c r="BM12" i="16"/>
  <c r="BN12" i="16"/>
  <c r="BO12" i="16"/>
  <c r="BP12" i="16"/>
  <c r="BQ12" i="16"/>
  <c r="BR12" i="16"/>
  <c r="BS12" i="16"/>
  <c r="AC13" i="16"/>
  <c r="AD13" i="16"/>
  <c r="AE13" i="16"/>
  <c r="AF13" i="16"/>
  <c r="AG13" i="16"/>
  <c r="AH13" i="16"/>
  <c r="AI13" i="16"/>
  <c r="AJ13" i="16"/>
  <c r="AK13" i="16"/>
  <c r="AL13" i="16"/>
  <c r="AM13" i="16"/>
  <c r="AN13" i="16"/>
  <c r="AO13" i="16"/>
  <c r="AP13" i="16"/>
  <c r="AQ13" i="16"/>
  <c r="AR13" i="16"/>
  <c r="BL13" i="16"/>
  <c r="BM13" i="16"/>
  <c r="BN13" i="16"/>
  <c r="BO13" i="16"/>
  <c r="BP13" i="16"/>
  <c r="BQ13" i="16"/>
  <c r="BR13" i="16"/>
  <c r="BS13" i="16"/>
  <c r="AC14" i="16"/>
  <c r="AD14" i="16"/>
  <c r="AE14" i="16"/>
  <c r="AF14" i="16"/>
  <c r="AG14" i="16"/>
  <c r="AH14" i="16"/>
  <c r="AI14" i="16"/>
  <c r="AJ14" i="16"/>
  <c r="AK14" i="16"/>
  <c r="AL14" i="16"/>
  <c r="AM14" i="16"/>
  <c r="AN14" i="16"/>
  <c r="AO14" i="16"/>
  <c r="AP14" i="16"/>
  <c r="AQ14" i="16"/>
  <c r="AR14" i="16"/>
  <c r="BL14" i="16"/>
  <c r="BM14" i="16"/>
  <c r="BN14" i="16"/>
  <c r="BO14" i="16"/>
  <c r="BP14" i="16"/>
  <c r="BQ14" i="16"/>
  <c r="BR14" i="16"/>
  <c r="BS14" i="16"/>
  <c r="AC15" i="16"/>
  <c r="AD15" i="16"/>
  <c r="AE15" i="16"/>
  <c r="AF15" i="16"/>
  <c r="AG15" i="16"/>
  <c r="AH15" i="16"/>
  <c r="AI15" i="16"/>
  <c r="AJ15" i="16"/>
  <c r="AK15" i="16"/>
  <c r="AL15" i="16"/>
  <c r="AM15" i="16"/>
  <c r="AN15" i="16"/>
  <c r="AO15" i="16"/>
  <c r="AP15" i="16"/>
  <c r="AQ15" i="16"/>
  <c r="AR15" i="16"/>
  <c r="BL15" i="16"/>
  <c r="BM15" i="16"/>
  <c r="BN15" i="16"/>
  <c r="BO15" i="16"/>
  <c r="BP15" i="16"/>
  <c r="BQ15" i="16"/>
  <c r="BR15" i="16"/>
  <c r="BS15" i="16"/>
  <c r="AC16" i="16"/>
  <c r="AD16" i="16"/>
  <c r="AE16" i="16"/>
  <c r="AF16" i="16"/>
  <c r="AG16" i="16"/>
  <c r="AH16" i="16"/>
  <c r="AI16" i="16"/>
  <c r="AJ16" i="16"/>
  <c r="AK16" i="16"/>
  <c r="AL16" i="16"/>
  <c r="AM16" i="16"/>
  <c r="AN16" i="16"/>
  <c r="AO16" i="16"/>
  <c r="AP16" i="16"/>
  <c r="AQ16" i="16"/>
  <c r="AR16" i="16"/>
  <c r="BL16" i="16"/>
  <c r="BM16" i="16"/>
  <c r="BN16" i="16"/>
  <c r="BO16" i="16"/>
  <c r="BP16" i="16"/>
  <c r="BQ16" i="16"/>
  <c r="BR16" i="16"/>
  <c r="BS16" i="16"/>
  <c r="AC17" i="16"/>
  <c r="AD17" i="16"/>
  <c r="AE17" i="16"/>
  <c r="AF17" i="16"/>
  <c r="AG17" i="16"/>
  <c r="AH17" i="16"/>
  <c r="AI17" i="16"/>
  <c r="AJ17" i="16"/>
  <c r="AK17" i="16"/>
  <c r="AL17" i="16"/>
  <c r="AM17" i="16"/>
  <c r="AN17" i="16"/>
  <c r="AO17" i="16"/>
  <c r="AP17" i="16"/>
  <c r="AQ17" i="16"/>
  <c r="AR17" i="16"/>
  <c r="BL17" i="16"/>
  <c r="BM17" i="16"/>
  <c r="BN17" i="16"/>
  <c r="BO17" i="16"/>
  <c r="BP17" i="16"/>
  <c r="BQ17" i="16"/>
  <c r="BR17" i="16"/>
  <c r="BS17" i="16"/>
  <c r="AC18" i="16"/>
  <c r="AD18" i="16"/>
  <c r="AE18" i="16"/>
  <c r="AF18" i="16"/>
  <c r="AG18" i="16"/>
  <c r="AH18" i="16"/>
  <c r="AI18" i="16"/>
  <c r="AJ18" i="16"/>
  <c r="AK18" i="16"/>
  <c r="AL18" i="16"/>
  <c r="AM18" i="16"/>
  <c r="AN18" i="16"/>
  <c r="AO18" i="16"/>
  <c r="AP18" i="16"/>
  <c r="AQ18" i="16"/>
  <c r="AR18" i="16"/>
  <c r="BL18" i="16"/>
  <c r="BM18" i="16"/>
  <c r="BN18" i="16"/>
  <c r="BO18" i="16"/>
  <c r="BP18" i="16"/>
  <c r="BQ18" i="16"/>
  <c r="BR18" i="16"/>
  <c r="BS18" i="16"/>
  <c r="AC19" i="16"/>
  <c r="AD19" i="16"/>
  <c r="AE19" i="16"/>
  <c r="AF19" i="16"/>
  <c r="AG19" i="16"/>
  <c r="AH19" i="16"/>
  <c r="AI19" i="16"/>
  <c r="AJ19" i="16"/>
  <c r="AK19" i="16"/>
  <c r="AL19" i="16"/>
  <c r="AM19" i="16"/>
  <c r="AN19" i="16"/>
  <c r="AO19" i="16"/>
  <c r="AP19" i="16"/>
  <c r="AQ19" i="16"/>
  <c r="AR19" i="16"/>
  <c r="BL19" i="16"/>
  <c r="BM19" i="16"/>
  <c r="BN19" i="16"/>
  <c r="BO19" i="16"/>
  <c r="BP19" i="16"/>
  <c r="BQ19" i="16"/>
  <c r="BR19" i="16"/>
  <c r="BS19" i="16"/>
  <c r="AC20" i="16"/>
  <c r="AD20" i="16"/>
  <c r="AE20" i="16"/>
  <c r="AF20" i="16"/>
  <c r="AG20" i="16"/>
  <c r="AH20" i="16"/>
  <c r="AI20" i="16"/>
  <c r="AJ20" i="16"/>
  <c r="AK20" i="16"/>
  <c r="AL20" i="16"/>
  <c r="AM20" i="16"/>
  <c r="AN20" i="16"/>
  <c r="AO20" i="16"/>
  <c r="AP20" i="16"/>
  <c r="AQ20" i="16"/>
  <c r="AR20" i="16"/>
  <c r="BL20" i="16"/>
  <c r="BM20" i="16"/>
  <c r="BN20" i="16"/>
  <c r="BO20" i="16"/>
  <c r="BP20" i="16"/>
  <c r="BQ20" i="16"/>
  <c r="BR20" i="16"/>
  <c r="BS20" i="16"/>
  <c r="AC21" i="16"/>
  <c r="AD21" i="16"/>
  <c r="AE21" i="16"/>
  <c r="AF21" i="16"/>
  <c r="AG21" i="16"/>
  <c r="AH21" i="16"/>
  <c r="AI21" i="16"/>
  <c r="AJ21" i="16"/>
  <c r="AK21" i="16"/>
  <c r="AL21" i="16"/>
  <c r="AM21" i="16"/>
  <c r="AN21" i="16"/>
  <c r="AO21" i="16"/>
  <c r="AP21" i="16"/>
  <c r="AQ21" i="16"/>
  <c r="AR21" i="16"/>
  <c r="BL21" i="16"/>
  <c r="BM21" i="16"/>
  <c r="BN21" i="16"/>
  <c r="BO21" i="16"/>
  <c r="BP21" i="16"/>
  <c r="BQ21" i="16"/>
  <c r="BR21" i="16"/>
  <c r="BS21" i="16"/>
  <c r="AC22" i="16"/>
  <c r="AD22" i="16"/>
  <c r="AE22" i="16"/>
  <c r="AF22" i="16"/>
  <c r="AG22" i="16"/>
  <c r="AH22" i="16"/>
  <c r="AI22" i="16"/>
  <c r="AJ22" i="16"/>
  <c r="AK22" i="16"/>
  <c r="AL22" i="16"/>
  <c r="AM22" i="16"/>
  <c r="AN22" i="16"/>
  <c r="AO22" i="16"/>
  <c r="AP22" i="16"/>
  <c r="AQ22" i="16"/>
  <c r="AR22" i="16"/>
  <c r="BL22" i="16"/>
  <c r="BM22" i="16"/>
  <c r="BN22" i="16"/>
  <c r="BO22" i="16"/>
  <c r="BP22" i="16"/>
  <c r="BQ22" i="16"/>
  <c r="BR22" i="16"/>
  <c r="BS22" i="16"/>
  <c r="AC23" i="16"/>
  <c r="AD23" i="16"/>
  <c r="AE23" i="16"/>
  <c r="AF23" i="16"/>
  <c r="AG23" i="16"/>
  <c r="AH23" i="16"/>
  <c r="AI23" i="16"/>
  <c r="AJ23" i="16"/>
  <c r="AK23" i="16"/>
  <c r="AL23" i="16"/>
  <c r="AM23" i="16"/>
  <c r="AN23" i="16"/>
  <c r="AO23" i="16"/>
  <c r="AP23" i="16"/>
  <c r="AQ23" i="16"/>
  <c r="AR23" i="16"/>
  <c r="BL23" i="16"/>
  <c r="BM23" i="16"/>
  <c r="BN23" i="16"/>
  <c r="BO23" i="16"/>
  <c r="BP23" i="16"/>
  <c r="BQ23" i="16"/>
  <c r="BR23" i="16"/>
  <c r="BS23" i="16"/>
  <c r="AC24" i="16"/>
  <c r="AD24" i="16"/>
  <c r="AE24" i="16"/>
  <c r="AF24" i="16"/>
  <c r="AG24" i="16"/>
  <c r="AH24" i="16"/>
  <c r="AI24" i="16"/>
  <c r="AJ24" i="16"/>
  <c r="AK24" i="16"/>
  <c r="AL24" i="16"/>
  <c r="AM24" i="16"/>
  <c r="AN24" i="16"/>
  <c r="AO24" i="16"/>
  <c r="AP24" i="16"/>
  <c r="AQ24" i="16"/>
  <c r="AR24" i="16"/>
  <c r="BL24" i="16"/>
  <c r="BM24" i="16"/>
  <c r="BN24" i="16"/>
  <c r="BO24" i="16"/>
  <c r="BP24" i="16"/>
  <c r="BQ24" i="16"/>
  <c r="BR24" i="16"/>
  <c r="BS24" i="16"/>
  <c r="AC25" i="16"/>
  <c r="AD25" i="16"/>
  <c r="AE25" i="16"/>
  <c r="AF25" i="16"/>
  <c r="AG25" i="16"/>
  <c r="AH25" i="16"/>
  <c r="AI25" i="16"/>
  <c r="AJ25" i="16"/>
  <c r="AK25" i="16"/>
  <c r="AL25" i="16"/>
  <c r="AM25" i="16"/>
  <c r="AN25" i="16"/>
  <c r="AO25" i="16"/>
  <c r="AP25" i="16"/>
  <c r="AQ25" i="16"/>
  <c r="AR25" i="16"/>
  <c r="BL25" i="16"/>
  <c r="BM25" i="16"/>
  <c r="BN25" i="16"/>
  <c r="BO25" i="16"/>
  <c r="BP25" i="16"/>
  <c r="BQ25" i="16"/>
  <c r="BR25" i="16"/>
  <c r="BS25" i="16"/>
  <c r="AC26" i="16"/>
  <c r="AD26" i="16"/>
  <c r="AE26" i="16"/>
  <c r="AF26" i="16"/>
  <c r="AG26" i="16"/>
  <c r="AH26" i="16"/>
  <c r="AI26" i="16"/>
  <c r="AJ26" i="16"/>
  <c r="AK26" i="16"/>
  <c r="AL26" i="16"/>
  <c r="AM26" i="16"/>
  <c r="AN26" i="16"/>
  <c r="AO26" i="16"/>
  <c r="AP26" i="16"/>
  <c r="AQ26" i="16"/>
  <c r="AR26" i="16"/>
  <c r="BL26" i="16"/>
  <c r="BM26" i="16"/>
  <c r="BN26" i="16"/>
  <c r="BO26" i="16"/>
  <c r="BP26" i="16"/>
  <c r="BQ26" i="16"/>
  <c r="BR26" i="16"/>
  <c r="BS26" i="16"/>
  <c r="AC27" i="16"/>
  <c r="AD27" i="16"/>
  <c r="AE27" i="16"/>
  <c r="AF27" i="16"/>
  <c r="AG27" i="16"/>
  <c r="AH27" i="16"/>
  <c r="AI27" i="16"/>
  <c r="AJ27" i="16"/>
  <c r="AK27" i="16"/>
  <c r="AL27" i="16"/>
  <c r="AM27" i="16"/>
  <c r="AN27" i="16"/>
  <c r="AO27" i="16"/>
  <c r="AP27" i="16"/>
  <c r="AQ27" i="16"/>
  <c r="AR27" i="16"/>
  <c r="BL27" i="16"/>
  <c r="BM27" i="16"/>
  <c r="BN27" i="16"/>
  <c r="BO27" i="16"/>
  <c r="BP27" i="16"/>
  <c r="BQ27" i="16"/>
  <c r="BR27" i="16"/>
  <c r="BS27" i="16"/>
  <c r="AC28" i="16"/>
  <c r="AD28" i="16"/>
  <c r="AE28" i="16"/>
  <c r="AF28" i="16"/>
  <c r="AG28" i="16"/>
  <c r="AH28" i="16"/>
  <c r="AI28" i="16"/>
  <c r="AJ28" i="16"/>
  <c r="AK28" i="16"/>
  <c r="AL28" i="16"/>
  <c r="AM28" i="16"/>
  <c r="AN28" i="16"/>
  <c r="AO28" i="16"/>
  <c r="AP28" i="16"/>
  <c r="AQ28" i="16"/>
  <c r="AR28" i="16"/>
  <c r="BL28" i="16"/>
  <c r="BM28" i="16"/>
  <c r="BN28" i="16"/>
  <c r="BO28" i="16"/>
  <c r="BP28" i="16"/>
  <c r="BQ28" i="16"/>
  <c r="BR28" i="16"/>
  <c r="BS28" i="16"/>
  <c r="AC29" i="16"/>
  <c r="AD29" i="16"/>
  <c r="AE29" i="16"/>
  <c r="AF29" i="16"/>
  <c r="AG29" i="16"/>
  <c r="AH29" i="16"/>
  <c r="AI29" i="16"/>
  <c r="AJ29" i="16"/>
  <c r="AK29" i="16"/>
  <c r="AL29" i="16"/>
  <c r="AM29" i="16"/>
  <c r="AN29" i="16"/>
  <c r="AO29" i="16"/>
  <c r="AP29" i="16"/>
  <c r="AQ29" i="16"/>
  <c r="AR29" i="16"/>
  <c r="BL29" i="16"/>
  <c r="BM29" i="16"/>
  <c r="BN29" i="16"/>
  <c r="BO29" i="16"/>
  <c r="BP29" i="16"/>
  <c r="BQ29" i="16"/>
  <c r="BR29" i="16"/>
  <c r="BS29" i="16"/>
  <c r="AC30" i="16"/>
  <c r="AD30" i="16"/>
  <c r="AE30" i="16"/>
  <c r="AF30" i="16"/>
  <c r="AG30" i="16"/>
  <c r="AH30" i="16"/>
  <c r="AI30" i="16"/>
  <c r="AJ30" i="16"/>
  <c r="AK30" i="16"/>
  <c r="AL30" i="16"/>
  <c r="AM30" i="16"/>
  <c r="AN30" i="16"/>
  <c r="AO30" i="16"/>
  <c r="AP30" i="16"/>
  <c r="AQ30" i="16"/>
  <c r="AR30" i="16"/>
  <c r="BL30" i="16"/>
  <c r="BM30" i="16"/>
  <c r="BN30" i="16"/>
  <c r="BO30" i="16"/>
  <c r="BP30" i="16"/>
  <c r="BQ30" i="16"/>
  <c r="BR30" i="16"/>
  <c r="BS30" i="16"/>
  <c r="AC31" i="16"/>
  <c r="AD31" i="16"/>
  <c r="AE31" i="16"/>
  <c r="AF31" i="16"/>
  <c r="AG31" i="16"/>
  <c r="AH31" i="16"/>
  <c r="AI31" i="16"/>
  <c r="AJ31" i="16"/>
  <c r="AK31" i="16"/>
  <c r="AL31" i="16"/>
  <c r="AM31" i="16"/>
  <c r="AN31" i="16"/>
  <c r="AO31" i="16"/>
  <c r="AP31" i="16"/>
  <c r="AQ31" i="16"/>
  <c r="AR31" i="16"/>
  <c r="BL31" i="16"/>
  <c r="BM31" i="16"/>
  <c r="BN31" i="16"/>
  <c r="BO31" i="16"/>
  <c r="BP31" i="16"/>
  <c r="BQ31" i="16"/>
  <c r="BR31" i="16"/>
  <c r="BS31" i="16"/>
  <c r="AC32" i="16"/>
  <c r="AD32" i="16"/>
  <c r="AE32" i="16"/>
  <c r="AF32" i="16"/>
  <c r="AG32" i="16"/>
  <c r="AH32" i="16"/>
  <c r="AI32" i="16"/>
  <c r="AJ32" i="16"/>
  <c r="AK32" i="16"/>
  <c r="AL32" i="16"/>
  <c r="AM32" i="16"/>
  <c r="AN32" i="16"/>
  <c r="AO32" i="16"/>
  <c r="AP32" i="16"/>
  <c r="AQ32" i="16"/>
  <c r="AR32" i="16"/>
  <c r="BL32" i="16"/>
  <c r="BM32" i="16"/>
  <c r="BN32" i="16"/>
  <c r="BO32" i="16"/>
  <c r="BP32" i="16"/>
  <c r="BQ32" i="16"/>
  <c r="BR32" i="16"/>
  <c r="BS32" i="16"/>
  <c r="AC33" i="16"/>
  <c r="AD33" i="16"/>
  <c r="AE33" i="16"/>
  <c r="AF33" i="16"/>
  <c r="AG33" i="16"/>
  <c r="AH33" i="16"/>
  <c r="AI33" i="16"/>
  <c r="AJ33" i="16"/>
  <c r="AK33" i="16"/>
  <c r="AL33" i="16"/>
  <c r="AM33" i="16"/>
  <c r="AN33" i="16"/>
  <c r="AO33" i="16"/>
  <c r="AP33" i="16"/>
  <c r="AQ33" i="16"/>
  <c r="AR33" i="16"/>
  <c r="BL33" i="16"/>
  <c r="BM33" i="16"/>
  <c r="BN33" i="16"/>
  <c r="BO33" i="16"/>
  <c r="BP33" i="16"/>
  <c r="BQ33" i="16"/>
  <c r="BR33" i="16"/>
  <c r="BS33" i="16"/>
  <c r="AC34" i="16"/>
  <c r="AD34" i="16"/>
  <c r="AE34" i="16"/>
  <c r="AF34" i="16"/>
  <c r="AG34" i="16"/>
  <c r="AH34" i="16"/>
  <c r="AI34" i="16"/>
  <c r="AJ34" i="16"/>
  <c r="AK34" i="16"/>
  <c r="AL34" i="16"/>
  <c r="AM34" i="16"/>
  <c r="AN34" i="16"/>
  <c r="AO34" i="16"/>
  <c r="AP34" i="16"/>
  <c r="AQ34" i="16"/>
  <c r="AR34" i="16"/>
  <c r="BL34" i="16"/>
  <c r="BM34" i="16"/>
  <c r="BN34" i="16"/>
  <c r="BO34" i="16"/>
  <c r="BP34" i="16"/>
  <c r="BQ34" i="16"/>
  <c r="BR34" i="16"/>
  <c r="BS34" i="16"/>
  <c r="AC35" i="16"/>
  <c r="AD35" i="16"/>
  <c r="AE35" i="16"/>
  <c r="AF35" i="16"/>
  <c r="AG35" i="16"/>
  <c r="AH35" i="16"/>
  <c r="AI35" i="16"/>
  <c r="AJ35" i="16"/>
  <c r="AK35" i="16"/>
  <c r="AL35" i="16"/>
  <c r="AM35" i="16"/>
  <c r="AN35" i="16"/>
  <c r="AO35" i="16"/>
  <c r="AP35" i="16"/>
  <c r="AQ35" i="16"/>
  <c r="AR35" i="16"/>
  <c r="BL35" i="16"/>
  <c r="BM35" i="16"/>
  <c r="BN35" i="16"/>
  <c r="BO35" i="16"/>
  <c r="BP35" i="16"/>
  <c r="BQ35" i="16"/>
  <c r="BR35" i="16"/>
  <c r="BS35" i="16"/>
  <c r="AC36" i="16"/>
  <c r="AD36" i="16"/>
  <c r="AE36" i="16"/>
  <c r="AF36" i="16"/>
  <c r="AG36" i="16"/>
  <c r="AH36" i="16"/>
  <c r="AI36" i="16"/>
  <c r="AJ36" i="16"/>
  <c r="AK36" i="16"/>
  <c r="AL36" i="16"/>
  <c r="AM36" i="16"/>
  <c r="AN36" i="16"/>
  <c r="AO36" i="16"/>
  <c r="AP36" i="16"/>
  <c r="AQ36" i="16"/>
  <c r="AR36" i="16"/>
  <c r="BL36" i="16"/>
  <c r="BM36" i="16"/>
  <c r="BN36" i="16"/>
  <c r="BO36" i="16"/>
  <c r="BP36" i="16"/>
  <c r="BQ36" i="16"/>
  <c r="BR36" i="16"/>
  <c r="BS36" i="16"/>
  <c r="AC37" i="16"/>
  <c r="AD37" i="16"/>
  <c r="AE37" i="16"/>
  <c r="AF37" i="16"/>
  <c r="AG37" i="16"/>
  <c r="AH37" i="16"/>
  <c r="AI37" i="16"/>
  <c r="AJ37" i="16"/>
  <c r="AK37" i="16"/>
  <c r="AL37" i="16"/>
  <c r="AM37" i="16"/>
  <c r="AN37" i="16"/>
  <c r="AO37" i="16"/>
  <c r="AP37" i="16"/>
  <c r="AQ37" i="16"/>
  <c r="AR37" i="16"/>
  <c r="BL37" i="16"/>
  <c r="BM37" i="16"/>
  <c r="BN37" i="16"/>
  <c r="BO37" i="16"/>
  <c r="BP37" i="16"/>
  <c r="BQ37" i="16"/>
  <c r="BR37" i="16"/>
  <c r="BS37" i="16"/>
  <c r="AC38" i="16"/>
  <c r="AD38" i="16"/>
  <c r="AE38" i="16"/>
  <c r="AF38" i="16"/>
  <c r="AG38" i="16"/>
  <c r="AH38" i="16"/>
  <c r="AI38" i="16"/>
  <c r="AJ38" i="16"/>
  <c r="AK38" i="16"/>
  <c r="AL38" i="16"/>
  <c r="AM38" i="16"/>
  <c r="AN38" i="16"/>
  <c r="AO38" i="16"/>
  <c r="AP38" i="16"/>
  <c r="AQ38" i="16"/>
  <c r="AR38" i="16"/>
  <c r="BL38" i="16"/>
  <c r="BM38" i="16"/>
  <c r="BN38" i="16"/>
  <c r="BO38" i="16"/>
  <c r="BP38" i="16"/>
  <c r="BQ38" i="16"/>
  <c r="BR38" i="16"/>
  <c r="BS38" i="16"/>
  <c r="AC39" i="16"/>
  <c r="AD39" i="16"/>
  <c r="AE39" i="16"/>
  <c r="AF39" i="16"/>
  <c r="AG39" i="16"/>
  <c r="AH39" i="16"/>
  <c r="AI39" i="16"/>
  <c r="AJ39" i="16"/>
  <c r="AK39" i="16"/>
  <c r="AL39" i="16"/>
  <c r="AM39" i="16"/>
  <c r="AN39" i="16"/>
  <c r="AO39" i="16"/>
  <c r="AP39" i="16"/>
  <c r="AQ39" i="16"/>
  <c r="AR39" i="16"/>
  <c r="BL39" i="16"/>
  <c r="BM39" i="16"/>
  <c r="BN39" i="16"/>
  <c r="BO39" i="16"/>
  <c r="BP39" i="16"/>
  <c r="BQ39" i="16"/>
  <c r="BR39" i="16"/>
  <c r="BS39" i="16"/>
  <c r="AC40" i="16"/>
  <c r="AD40" i="16"/>
  <c r="AE40" i="16"/>
  <c r="AF40" i="16"/>
  <c r="AG40" i="16"/>
  <c r="AH40" i="16"/>
  <c r="AI40" i="16"/>
  <c r="AJ40" i="16"/>
  <c r="AK40" i="16"/>
  <c r="AL40" i="16"/>
  <c r="AM40" i="16"/>
  <c r="AN40" i="16"/>
  <c r="AO40" i="16"/>
  <c r="AP40" i="16"/>
  <c r="AQ40" i="16"/>
  <c r="AR40" i="16"/>
  <c r="BL40" i="16"/>
  <c r="BM40" i="16"/>
  <c r="BN40" i="16"/>
  <c r="BO40" i="16"/>
  <c r="BP40" i="16"/>
  <c r="BQ40" i="16"/>
  <c r="BR40" i="16"/>
  <c r="BS40" i="16"/>
  <c r="AC41" i="16"/>
  <c r="AD41" i="16"/>
  <c r="AE41" i="16"/>
  <c r="AF41" i="16"/>
  <c r="AG41" i="16"/>
  <c r="AH41" i="16"/>
  <c r="AI41" i="16"/>
  <c r="AJ41" i="16"/>
  <c r="AK41" i="16"/>
  <c r="AL41" i="16"/>
  <c r="AM41" i="16"/>
  <c r="AN41" i="16"/>
  <c r="AO41" i="16"/>
  <c r="AP41" i="16"/>
  <c r="AQ41" i="16"/>
  <c r="AR41" i="16"/>
  <c r="BL41" i="16"/>
  <c r="BM41" i="16"/>
  <c r="BN41" i="16"/>
  <c r="BO41" i="16"/>
  <c r="BP41" i="16"/>
  <c r="BQ41" i="16"/>
  <c r="BR41" i="16"/>
  <c r="BS41" i="16"/>
  <c r="AC42" i="16"/>
  <c r="AD42" i="16"/>
  <c r="AE42" i="16"/>
  <c r="AF42" i="16"/>
  <c r="AG42" i="16"/>
  <c r="AH42" i="16"/>
  <c r="AI42" i="16"/>
  <c r="AJ42" i="16"/>
  <c r="AK42" i="16"/>
  <c r="AL42" i="16"/>
  <c r="AM42" i="16"/>
  <c r="AN42" i="16"/>
  <c r="AO42" i="16"/>
  <c r="AP42" i="16"/>
  <c r="AQ42" i="16"/>
  <c r="AR42" i="16"/>
  <c r="BL42" i="16"/>
  <c r="BM42" i="16"/>
  <c r="BN42" i="16"/>
  <c r="BO42" i="16"/>
  <c r="BP42" i="16"/>
  <c r="BQ42" i="16"/>
  <c r="BR42" i="16"/>
  <c r="BS42" i="16"/>
  <c r="AC43" i="16"/>
  <c r="AD43" i="16"/>
  <c r="AE43" i="16"/>
  <c r="AF43" i="16"/>
  <c r="AG43" i="16"/>
  <c r="AH43" i="16"/>
  <c r="AI43" i="16"/>
  <c r="AJ43" i="16"/>
  <c r="AK43" i="16"/>
  <c r="AL43" i="16"/>
  <c r="AM43" i="16"/>
  <c r="AN43" i="16"/>
  <c r="AO43" i="16"/>
  <c r="AP43" i="16"/>
  <c r="AQ43" i="16"/>
  <c r="AR43" i="16"/>
  <c r="BL43" i="16"/>
  <c r="BM43" i="16"/>
  <c r="BN43" i="16"/>
  <c r="BO43" i="16"/>
  <c r="BP43" i="16"/>
  <c r="BQ43" i="16"/>
  <c r="BR43" i="16"/>
  <c r="BS43" i="16"/>
  <c r="AC44" i="16"/>
  <c r="AD44" i="16"/>
  <c r="AE44" i="16"/>
  <c r="AF44" i="16"/>
  <c r="AG44" i="16"/>
  <c r="AH44" i="16"/>
  <c r="AI44" i="16"/>
  <c r="AJ44" i="16"/>
  <c r="AK44" i="16"/>
  <c r="AL44" i="16"/>
  <c r="AM44" i="16"/>
  <c r="AN44" i="16"/>
  <c r="AO44" i="16"/>
  <c r="AP44" i="16"/>
  <c r="AQ44" i="16"/>
  <c r="AR44" i="16"/>
  <c r="BL44" i="16"/>
  <c r="BM44" i="16"/>
  <c r="BN44" i="16"/>
  <c r="BO44" i="16"/>
  <c r="BP44" i="16"/>
  <c r="BQ44" i="16"/>
  <c r="BR44" i="16"/>
  <c r="BS44" i="16"/>
  <c r="AC45" i="16"/>
  <c r="AD45" i="16"/>
  <c r="AE45" i="16"/>
  <c r="AF45" i="16"/>
  <c r="AG45" i="16"/>
  <c r="AH45" i="16"/>
  <c r="AI45" i="16"/>
  <c r="AJ45" i="16"/>
  <c r="AK45" i="16"/>
  <c r="AL45" i="16"/>
  <c r="AM45" i="16"/>
  <c r="AN45" i="16"/>
  <c r="AO45" i="16"/>
  <c r="AP45" i="16"/>
  <c r="AQ45" i="16"/>
  <c r="AR45" i="16"/>
  <c r="BL45" i="16"/>
  <c r="BM45" i="16"/>
  <c r="BN45" i="16"/>
  <c r="BO45" i="16"/>
  <c r="BP45" i="16"/>
  <c r="BQ45" i="16"/>
  <c r="BR45" i="16"/>
  <c r="BS45" i="16"/>
  <c r="AC46" i="16"/>
  <c r="AD46" i="16"/>
  <c r="AE46" i="16"/>
  <c r="AF46" i="16"/>
  <c r="AG46" i="16"/>
  <c r="AH46" i="16"/>
  <c r="AI46" i="16"/>
  <c r="AJ46" i="16"/>
  <c r="AK46" i="16"/>
  <c r="AL46" i="16"/>
  <c r="AM46" i="16"/>
  <c r="AN46" i="16"/>
  <c r="AO46" i="16"/>
  <c r="AP46" i="16"/>
  <c r="AQ46" i="16"/>
  <c r="AR46" i="16"/>
  <c r="BL46" i="16"/>
  <c r="BM46" i="16"/>
  <c r="BN46" i="16"/>
  <c r="BO46" i="16"/>
  <c r="BP46" i="16"/>
  <c r="BQ46" i="16"/>
  <c r="BR46" i="16"/>
  <c r="BS46" i="16"/>
  <c r="AC47" i="16"/>
  <c r="AD47" i="16"/>
  <c r="AE47" i="16"/>
  <c r="AF47" i="16"/>
  <c r="AG47" i="16"/>
  <c r="AH47" i="16"/>
  <c r="AI47" i="16"/>
  <c r="AJ47" i="16"/>
  <c r="AK47" i="16"/>
  <c r="AL47" i="16"/>
  <c r="AM47" i="16"/>
  <c r="AN47" i="16"/>
  <c r="AO47" i="16"/>
  <c r="AP47" i="16"/>
  <c r="AQ47" i="16"/>
  <c r="AR47" i="16"/>
  <c r="BL47" i="16"/>
  <c r="BM47" i="16"/>
  <c r="BN47" i="16"/>
  <c r="BO47" i="16"/>
  <c r="BP47" i="16"/>
  <c r="BQ47" i="16"/>
  <c r="BR47" i="16"/>
  <c r="BS47" i="16"/>
  <c r="AC48" i="16"/>
  <c r="AD48" i="16"/>
  <c r="AE48" i="16"/>
  <c r="AF48" i="16"/>
  <c r="AG48" i="16"/>
  <c r="AH48" i="16"/>
  <c r="AI48" i="16"/>
  <c r="AJ48" i="16"/>
  <c r="AK48" i="16"/>
  <c r="AL48" i="16"/>
  <c r="AM48" i="16"/>
  <c r="AN48" i="16"/>
  <c r="AO48" i="16"/>
  <c r="AP48" i="16"/>
  <c r="AQ48" i="16"/>
  <c r="AR48" i="16"/>
  <c r="BL48" i="16"/>
  <c r="BM48" i="16"/>
  <c r="BN48" i="16"/>
  <c r="BO48" i="16"/>
  <c r="BP48" i="16"/>
  <c r="BQ48" i="16"/>
  <c r="BR48" i="16"/>
  <c r="BS48" i="16"/>
  <c r="AC49" i="16"/>
  <c r="AD49" i="16"/>
  <c r="AE49" i="16"/>
  <c r="AF49" i="16"/>
  <c r="AG49" i="16"/>
  <c r="AH49" i="16"/>
  <c r="AI49" i="16"/>
  <c r="AJ49" i="16"/>
  <c r="AK49" i="16"/>
  <c r="AL49" i="16"/>
  <c r="AM49" i="16"/>
  <c r="AN49" i="16"/>
  <c r="AO49" i="16"/>
  <c r="AP49" i="16"/>
  <c r="AQ49" i="16"/>
  <c r="AR49" i="16"/>
  <c r="BL49" i="16"/>
  <c r="BM49" i="16"/>
  <c r="BN49" i="16"/>
  <c r="BO49" i="16"/>
  <c r="BP49" i="16"/>
  <c r="BQ49" i="16"/>
  <c r="BR49" i="16"/>
  <c r="BS49" i="16"/>
  <c r="AC50" i="16"/>
  <c r="AD50" i="16"/>
  <c r="AE50" i="16"/>
  <c r="AF50" i="16"/>
  <c r="AG50" i="16"/>
  <c r="AH50" i="16"/>
  <c r="AI50" i="16"/>
  <c r="AJ50" i="16"/>
  <c r="AK50" i="16"/>
  <c r="AL50" i="16"/>
  <c r="AM50" i="16"/>
  <c r="AN50" i="16"/>
  <c r="AO50" i="16"/>
  <c r="AP50" i="16"/>
  <c r="AQ50" i="16"/>
  <c r="AR50" i="16"/>
  <c r="BL50" i="16"/>
  <c r="BM50" i="16"/>
  <c r="BN50" i="16"/>
  <c r="BO50" i="16"/>
  <c r="BP50" i="16"/>
  <c r="BQ50" i="16"/>
  <c r="BR50" i="16"/>
  <c r="BS50" i="16"/>
  <c r="AC51" i="16"/>
  <c r="AD51" i="16"/>
  <c r="AE51" i="16"/>
  <c r="AF51" i="16"/>
  <c r="AG51" i="16"/>
  <c r="AH51" i="16"/>
  <c r="AI51" i="16"/>
  <c r="AJ51" i="16"/>
  <c r="AK51" i="16"/>
  <c r="AL51" i="16"/>
  <c r="AM51" i="16"/>
  <c r="AN51" i="16"/>
  <c r="AO51" i="16"/>
  <c r="AP51" i="16"/>
  <c r="AQ51" i="16"/>
  <c r="AR51" i="16"/>
  <c r="BL51" i="16"/>
  <c r="BM51" i="16"/>
  <c r="BN51" i="16"/>
  <c r="BO51" i="16"/>
  <c r="BP51" i="16"/>
  <c r="BQ51" i="16"/>
  <c r="BR51" i="16"/>
  <c r="BS51" i="16"/>
  <c r="AC52" i="16"/>
  <c r="AD52" i="16"/>
  <c r="AE52" i="16"/>
  <c r="AF52" i="16"/>
  <c r="AG52" i="16"/>
  <c r="AH52" i="16"/>
  <c r="AI52" i="16"/>
  <c r="AJ52" i="16"/>
  <c r="AK52" i="16"/>
  <c r="AL52" i="16"/>
  <c r="AM52" i="16"/>
  <c r="AN52" i="16"/>
  <c r="AO52" i="16"/>
  <c r="AP52" i="16"/>
  <c r="AQ52" i="16"/>
  <c r="AR52" i="16"/>
  <c r="BL52" i="16"/>
  <c r="BM52" i="16"/>
  <c r="BN52" i="16"/>
  <c r="BO52" i="16"/>
  <c r="BP52" i="16"/>
  <c r="BQ52" i="16"/>
  <c r="BR52" i="16"/>
  <c r="BS52" i="16"/>
  <c r="AC53" i="16"/>
  <c r="AD53" i="16"/>
  <c r="AE53" i="16"/>
  <c r="AF53" i="16"/>
  <c r="AG53" i="16"/>
  <c r="AH53" i="16"/>
  <c r="AI53" i="16"/>
  <c r="AJ53" i="16"/>
  <c r="AK53" i="16"/>
  <c r="AL53" i="16"/>
  <c r="AM53" i="16"/>
  <c r="AN53" i="16"/>
  <c r="AO53" i="16"/>
  <c r="AP53" i="16"/>
  <c r="AQ53" i="16"/>
  <c r="AR53" i="16"/>
  <c r="BL53" i="16"/>
  <c r="BM53" i="16"/>
  <c r="BN53" i="16"/>
  <c r="BO53" i="16"/>
  <c r="BP53" i="16"/>
  <c r="BQ53" i="16"/>
  <c r="BR53" i="16"/>
  <c r="BS53" i="16"/>
  <c r="AC54" i="16"/>
  <c r="AD54" i="16"/>
  <c r="AE54" i="16"/>
  <c r="AF54" i="16"/>
  <c r="AG54" i="16"/>
  <c r="AH54" i="16"/>
  <c r="AI54" i="16"/>
  <c r="AJ54" i="16"/>
  <c r="AK54" i="16"/>
  <c r="AL54" i="16"/>
  <c r="AM54" i="16"/>
  <c r="AN54" i="16"/>
  <c r="AO54" i="16"/>
  <c r="AP54" i="16"/>
  <c r="AQ54" i="16"/>
  <c r="AR54" i="16"/>
  <c r="BL54" i="16"/>
  <c r="BM54" i="16"/>
  <c r="BN54" i="16"/>
  <c r="BO54" i="16"/>
  <c r="BP54" i="16"/>
  <c r="BQ54" i="16"/>
  <c r="BR54" i="16"/>
  <c r="BS54" i="16"/>
  <c r="BS4" i="16"/>
  <c r="BR4" i="16"/>
  <c r="BQ4" i="16"/>
  <c r="BP4" i="16"/>
  <c r="BO4" i="16"/>
  <c r="BN4" i="16"/>
  <c r="BM4" i="16"/>
  <c r="BL4" i="16"/>
  <c r="AP4" i="16"/>
  <c r="AL4" i="16"/>
  <c r="AK4" i="16"/>
  <c r="AH4" i="16"/>
  <c r="AG4" i="16"/>
  <c r="AD4" i="16"/>
  <c r="AC4" i="16"/>
  <c r="B23" i="9" l="1"/>
  <c r="AT39" i="16" s="1"/>
  <c r="AS39" i="16" s="1"/>
  <c r="AU39" i="16" s="1"/>
  <c r="AV39" i="16" s="1"/>
  <c r="B23" i="16"/>
  <c r="B5" i="2"/>
  <c r="B5" i="8"/>
  <c r="AT18" i="16" l="1"/>
  <c r="AS18" i="16" s="1"/>
  <c r="AU18" i="16" s="1"/>
  <c r="AV18" i="16" s="1"/>
  <c r="AT31" i="16"/>
  <c r="AS31" i="16" s="1"/>
  <c r="AU31" i="16" s="1"/>
  <c r="AV31" i="16" s="1"/>
  <c r="AT5" i="16"/>
  <c r="AS5" i="16" s="1"/>
  <c r="AU5" i="16" s="1"/>
  <c r="AV5" i="16" s="1"/>
  <c r="AT17" i="16"/>
  <c r="AS17" i="16" s="1"/>
  <c r="AU17" i="16" s="1"/>
  <c r="AV17" i="16" s="1"/>
  <c r="AT29" i="16"/>
  <c r="AS29" i="16" s="1"/>
  <c r="AU29" i="16" s="1"/>
  <c r="AV29" i="16" s="1"/>
  <c r="AT10" i="16"/>
  <c r="AS10" i="16" s="1"/>
  <c r="AU10" i="16" s="1"/>
  <c r="AV10" i="16" s="1"/>
  <c r="AT40" i="16"/>
  <c r="AS40" i="16" s="1"/>
  <c r="AU40" i="16" s="1"/>
  <c r="AV40" i="16" s="1"/>
  <c r="AT37" i="16"/>
  <c r="AS37" i="16" s="1"/>
  <c r="AU37" i="16" s="1"/>
  <c r="AV37" i="16" s="1"/>
  <c r="AT53" i="16"/>
  <c r="AS53" i="16" s="1"/>
  <c r="AU53" i="16" s="1"/>
  <c r="AV53" i="16" s="1"/>
  <c r="AT19" i="16"/>
  <c r="AS19" i="16" s="1"/>
  <c r="AU19" i="16" s="1"/>
  <c r="AV19" i="16" s="1"/>
  <c r="AT7" i="16"/>
  <c r="AS7" i="16" s="1"/>
  <c r="AU7" i="16" s="1"/>
  <c r="AV7" i="16" s="1"/>
  <c r="AT48" i="16"/>
  <c r="AS48" i="16" s="1"/>
  <c r="AU48" i="16" s="1"/>
  <c r="AV48" i="16" s="1"/>
  <c r="AT12" i="16"/>
  <c r="AS12" i="16" s="1"/>
  <c r="AU12" i="16" s="1"/>
  <c r="AV12" i="16" s="1"/>
  <c r="AT49" i="16"/>
  <c r="AS49" i="16" s="1"/>
  <c r="AU49" i="16" s="1"/>
  <c r="AV49" i="16" s="1"/>
  <c r="AT42" i="16"/>
  <c r="AS42" i="16" s="1"/>
  <c r="AU42" i="16" s="1"/>
  <c r="AV42" i="16" s="1"/>
  <c r="AT6" i="16"/>
  <c r="AS6" i="16" s="1"/>
  <c r="AU6" i="16" s="1"/>
  <c r="AV6" i="16" s="1"/>
  <c r="AT25" i="16"/>
  <c r="AS25" i="16" s="1"/>
  <c r="AU25" i="16" s="1"/>
  <c r="AV25" i="16" s="1"/>
  <c r="AT22" i="16"/>
  <c r="AS22" i="16" s="1"/>
  <c r="AU22" i="16" s="1"/>
  <c r="AV22" i="16" s="1"/>
  <c r="AT16" i="16"/>
  <c r="AS16" i="16" s="1"/>
  <c r="AU16" i="16" s="1"/>
  <c r="AV16" i="16" s="1"/>
  <c r="AT21" i="16"/>
  <c r="AS21" i="16" s="1"/>
  <c r="AU21" i="16" s="1"/>
  <c r="AV21" i="16" s="1"/>
  <c r="B106" i="3"/>
  <c r="AT23" i="16"/>
  <c r="AS23" i="16" s="1"/>
  <c r="AU23" i="16" s="1"/>
  <c r="AV23" i="16" s="1"/>
  <c r="AT11" i="16"/>
  <c r="AS11" i="16" s="1"/>
  <c r="AU11" i="16" s="1"/>
  <c r="AV11" i="16" s="1"/>
  <c r="AT36" i="16"/>
  <c r="AS36" i="16" s="1"/>
  <c r="AU36" i="16" s="1"/>
  <c r="AV36" i="16" s="1"/>
  <c r="AT41" i="16"/>
  <c r="AS41" i="16" s="1"/>
  <c r="AU41" i="16" s="1"/>
  <c r="AV41" i="16" s="1"/>
  <c r="AT54" i="16"/>
  <c r="AS54" i="16" s="1"/>
  <c r="AU54" i="16" s="1"/>
  <c r="AV54" i="16" s="1"/>
  <c r="AT35" i="16"/>
  <c r="AS35" i="16" s="1"/>
  <c r="AU35" i="16" s="1"/>
  <c r="AV35" i="16" s="1"/>
  <c r="AT34" i="16"/>
  <c r="AS34" i="16" s="1"/>
  <c r="AU34" i="16" s="1"/>
  <c r="AV34" i="16" s="1"/>
  <c r="AT28" i="16"/>
  <c r="AS28" i="16" s="1"/>
  <c r="AU28" i="16" s="1"/>
  <c r="AV28" i="16" s="1"/>
  <c r="AT45" i="16"/>
  <c r="AS45" i="16" s="1"/>
  <c r="AU45" i="16" s="1"/>
  <c r="AV45" i="16" s="1"/>
  <c r="AT32" i="16"/>
  <c r="AS32" i="16" s="1"/>
  <c r="AU32" i="16" s="1"/>
  <c r="AV32" i="16" s="1"/>
  <c r="B143" i="3"/>
  <c r="AT52" i="16"/>
  <c r="AS52" i="16" s="1"/>
  <c r="AU52" i="16" s="1"/>
  <c r="AV52" i="16" s="1"/>
  <c r="AT38" i="16"/>
  <c r="AS38" i="16" s="1"/>
  <c r="AU38" i="16" s="1"/>
  <c r="AV38" i="16" s="1"/>
  <c r="AT4" i="16"/>
  <c r="AS4" i="16" s="1"/>
  <c r="AU4" i="16" s="1"/>
  <c r="AV4" i="16" s="1"/>
  <c r="B62" i="16"/>
  <c r="B135" i="26" s="1"/>
  <c r="AT27" i="16"/>
  <c r="AS27" i="16" s="1"/>
  <c r="AU27" i="16" s="1"/>
  <c r="AV27" i="16" s="1"/>
  <c r="AT24" i="16"/>
  <c r="AS24" i="16" s="1"/>
  <c r="AU24" i="16" s="1"/>
  <c r="AV24" i="16" s="1"/>
  <c r="AT33" i="16"/>
  <c r="AS33" i="16" s="1"/>
  <c r="AU33" i="16" s="1"/>
  <c r="AV33" i="16" s="1"/>
  <c r="AT20" i="16"/>
  <c r="AS20" i="16" s="1"/>
  <c r="AU20" i="16" s="1"/>
  <c r="AV20" i="16" s="1"/>
  <c r="B62" i="9"/>
  <c r="B133" i="23" s="1"/>
  <c r="AT51" i="16"/>
  <c r="AS51" i="16" s="1"/>
  <c r="AU51" i="16" s="1"/>
  <c r="AV51" i="16" s="1"/>
  <c r="AT44" i="16"/>
  <c r="AS44" i="16" s="1"/>
  <c r="AU44" i="16" s="1"/>
  <c r="AV44" i="16" s="1"/>
  <c r="AT15" i="16"/>
  <c r="AS15" i="16" s="1"/>
  <c r="AU15" i="16" s="1"/>
  <c r="AV15" i="16" s="1"/>
  <c r="AT50" i="16"/>
  <c r="AS50" i="16" s="1"/>
  <c r="AU50" i="16" s="1"/>
  <c r="AV50" i="16" s="1"/>
  <c r="AT13" i="16"/>
  <c r="AS13" i="16" s="1"/>
  <c r="AU13" i="16" s="1"/>
  <c r="AV13" i="16" s="1"/>
  <c r="AT26" i="16"/>
  <c r="AS26" i="16" s="1"/>
  <c r="AU26" i="16" s="1"/>
  <c r="AV26" i="16" s="1"/>
  <c r="AT43" i="16"/>
  <c r="AS43" i="16" s="1"/>
  <c r="AU43" i="16" s="1"/>
  <c r="AV43" i="16" s="1"/>
  <c r="AT14" i="16"/>
  <c r="AS14" i="16" s="1"/>
  <c r="AU14" i="16" s="1"/>
  <c r="AV14" i="16" s="1"/>
  <c r="AT8" i="16"/>
  <c r="AS8" i="16" s="1"/>
  <c r="AU8" i="16" s="1"/>
  <c r="AV8" i="16" s="1"/>
  <c r="AT47" i="16"/>
  <c r="AS47" i="16" s="1"/>
  <c r="AU47" i="16" s="1"/>
  <c r="AV47" i="16" s="1"/>
  <c r="AT46" i="16"/>
  <c r="AS46" i="16" s="1"/>
  <c r="AU46" i="16" s="1"/>
  <c r="AV46" i="16" s="1"/>
  <c r="AT9" i="16"/>
  <c r="AS9" i="16" s="1"/>
  <c r="AU9" i="16" s="1"/>
  <c r="AV9" i="16" s="1"/>
  <c r="AT30" i="16"/>
  <c r="AS30" i="16" s="1"/>
  <c r="AU30" i="16" s="1"/>
  <c r="AV30" i="16" s="1"/>
  <c r="B26" i="16"/>
  <c r="AN4" i="16"/>
  <c r="AM4" i="16"/>
  <c r="AJ4" i="16"/>
  <c r="AI4" i="16"/>
  <c r="AF4" i="16"/>
  <c r="AE4" i="16"/>
  <c r="B51" i="8"/>
  <c r="B110" i="25" s="1"/>
  <c r="B49" i="8"/>
  <c r="B107" i="25" s="1"/>
  <c r="B47" i="8"/>
  <c r="B104" i="25" s="1"/>
  <c r="B45" i="8"/>
  <c r="B101" i="25" s="1"/>
  <c r="B9" i="8"/>
  <c r="B10" i="8" s="1"/>
  <c r="B7" i="8"/>
  <c r="B8" i="8" s="1"/>
  <c r="B52" i="2"/>
  <c r="B114" i="22" s="1"/>
  <c r="B50" i="2"/>
  <c r="B111" i="22" s="1"/>
  <c r="B48" i="2"/>
  <c r="B108" i="22" s="1"/>
  <c r="B46" i="2"/>
  <c r="B105" i="22" s="1"/>
  <c r="B9" i="2"/>
  <c r="B10" i="2" s="1"/>
  <c r="B7" i="2"/>
  <c r="B8" i="2" s="1"/>
  <c r="B41" i="8" l="1"/>
  <c r="B95" i="25" s="1"/>
  <c r="B129" i="25"/>
  <c r="B127" i="25"/>
  <c r="B42" i="2"/>
  <c r="B99" i="22" s="1"/>
  <c r="B133" i="22"/>
  <c r="B131" i="22"/>
  <c r="B44" i="2"/>
  <c r="B102" i="22" s="1"/>
  <c r="B43" i="8"/>
  <c r="B98" i="25" s="1"/>
  <c r="F93" i="3" l="1"/>
  <c r="AJ4" i="9"/>
  <c r="AH4" i="9"/>
  <c r="AF4" i="9"/>
  <c r="AD4" i="9"/>
  <c r="AF3" i="15"/>
  <c r="AF4" i="15"/>
  <c r="AF5" i="15"/>
  <c r="AF6" i="15"/>
  <c r="AF7" i="15"/>
  <c r="AF8" i="15"/>
  <c r="AF9" i="15"/>
  <c r="AF10" i="15"/>
  <c r="AF11" i="15"/>
  <c r="AF12" i="15"/>
  <c r="AF13" i="15"/>
  <c r="AF14" i="15"/>
  <c r="AF15" i="15"/>
  <c r="AF16" i="15"/>
  <c r="AF17" i="15"/>
  <c r="AF18" i="15"/>
  <c r="AF19" i="15"/>
  <c r="AF20" i="15"/>
  <c r="AF21" i="15"/>
  <c r="AF22" i="15"/>
  <c r="AF23" i="15"/>
  <c r="AF24" i="15"/>
  <c r="AF25" i="15"/>
  <c r="AF26" i="15"/>
  <c r="AF2" i="15"/>
  <c r="AD2" i="15"/>
  <c r="AD3" i="15"/>
  <c r="AD4" i="15"/>
  <c r="AD5" i="15"/>
  <c r="AD6" i="15"/>
  <c r="AD7" i="15"/>
  <c r="AD8" i="15"/>
  <c r="AD9" i="15"/>
  <c r="AD10" i="15"/>
  <c r="AD11" i="15"/>
  <c r="AD12" i="15"/>
  <c r="AD13" i="15"/>
  <c r="AD14" i="15"/>
  <c r="AD15" i="15"/>
  <c r="AD16" i="15"/>
  <c r="AD17" i="15"/>
  <c r="AD18" i="15"/>
  <c r="AD19" i="15"/>
  <c r="AD20" i="15"/>
  <c r="AD21" i="15"/>
  <c r="AD22" i="15"/>
  <c r="AD23" i="15"/>
  <c r="AD24" i="15"/>
  <c r="AD25" i="15"/>
  <c r="AD26" i="15"/>
  <c r="B9" i="7"/>
  <c r="B81" i="3" s="1"/>
  <c r="B7" i="7"/>
  <c r="R26" i="15" l="1"/>
  <c r="R19" i="15"/>
  <c r="R18" i="15"/>
  <c r="R17" i="15"/>
  <c r="Q17" i="15"/>
  <c r="Q18" i="15"/>
  <c r="Q19" i="15"/>
  <c r="N19" i="15"/>
  <c r="N18" i="15"/>
  <c r="R14" i="15"/>
  <c r="Q14" i="15"/>
  <c r="N14" i="15"/>
  <c r="R13" i="15"/>
  <c r="Q13" i="15"/>
  <c r="R12" i="15"/>
  <c r="Q12" i="15"/>
  <c r="N27" i="15" l="1"/>
  <c r="Q28" i="15"/>
  <c r="O27" i="15"/>
  <c r="P27" i="15"/>
  <c r="S28" i="15"/>
  <c r="Q27" i="15"/>
  <c r="R27" i="15"/>
  <c r="P28" i="15"/>
  <c r="S27" i="15"/>
  <c r="O28" i="15"/>
  <c r="N28" i="15"/>
  <c r="R28" i="15"/>
  <c r="O26" i="15"/>
  <c r="N26" i="15"/>
  <c r="S26" i="15"/>
  <c r="P26" i="15"/>
  <c r="Q26" i="15"/>
  <c r="B6" i="15"/>
  <c r="X2" i="15"/>
  <c r="X3" i="15"/>
  <c r="X4" i="15"/>
  <c r="X5" i="15"/>
  <c r="X6" i="15"/>
  <c r="X7" i="15"/>
  <c r="X8" i="15"/>
  <c r="X9" i="15"/>
  <c r="X10" i="15"/>
  <c r="X11" i="15"/>
  <c r="X12" i="15"/>
  <c r="X13" i="15"/>
  <c r="X14" i="15"/>
  <c r="X15" i="15"/>
  <c r="X16" i="15"/>
  <c r="X17" i="15"/>
  <c r="X18" i="15"/>
  <c r="X19" i="15"/>
  <c r="X20" i="15"/>
  <c r="X21" i="15"/>
  <c r="X22" i="15"/>
  <c r="X23" i="15"/>
  <c r="X24" i="15"/>
  <c r="X25" i="15"/>
  <c r="X26" i="15"/>
  <c r="S11" i="15"/>
  <c r="S10" i="15"/>
  <c r="S6" i="15"/>
  <c r="S5" i="15"/>
  <c r="R11" i="15"/>
  <c r="R10" i="15"/>
  <c r="R6" i="15"/>
  <c r="R5" i="15"/>
  <c r="Q11" i="15"/>
  <c r="Q10" i="15"/>
  <c r="Q6" i="15"/>
  <c r="Q5" i="15"/>
  <c r="P11" i="15"/>
  <c r="P10" i="15"/>
  <c r="P6" i="15"/>
  <c r="P5" i="15"/>
  <c r="O5" i="15"/>
  <c r="O11" i="15"/>
  <c r="O10" i="15"/>
  <c r="O6" i="15"/>
  <c r="N11" i="15"/>
  <c r="N10" i="15"/>
  <c r="N6" i="15"/>
  <c r="N5" i="15"/>
  <c r="B2" i="15"/>
  <c r="B3" i="15"/>
  <c r="B5" i="15"/>
  <c r="G7" i="15"/>
  <c r="F7" i="15"/>
  <c r="E7" i="15"/>
  <c r="D7" i="15"/>
  <c r="H7" i="15"/>
  <c r="T26" i="15" l="1"/>
  <c r="T27" i="15"/>
  <c r="T28" i="15"/>
  <c r="B7" i="15"/>
  <c r="N25" i="15"/>
  <c r="R25" i="15"/>
  <c r="O25" i="15"/>
  <c r="S25" i="15"/>
  <c r="P25" i="15"/>
  <c r="Q25" i="15"/>
  <c r="B4" i="15"/>
  <c r="B8" i="7"/>
  <c r="T25" i="15" l="1"/>
  <c r="B19" i="23" l="1"/>
  <c r="B20" i="26"/>
  <c r="B17" i="23"/>
  <c r="B18" i="26"/>
  <c r="B18" i="23"/>
  <c r="B19" i="26"/>
  <c r="B20" i="23"/>
  <c r="B21" i="26"/>
  <c r="P5" i="13"/>
  <c r="N5" i="13" s="1"/>
  <c r="N4" i="13"/>
  <c r="B25" i="2" l="1"/>
  <c r="B25" i="8" l="1"/>
  <c r="B26" i="9"/>
  <c r="B5" i="7" l="1"/>
  <c r="B21" i="9"/>
  <c r="G15" i="8"/>
  <c r="G14" i="8"/>
  <c r="G13" i="8"/>
  <c r="B22" i="8"/>
  <c r="B20" i="8"/>
  <c r="B18" i="8"/>
  <c r="B16" i="8"/>
  <c r="B14" i="8"/>
  <c r="B12" i="8"/>
  <c r="B22" i="2"/>
  <c r="B20" i="2"/>
  <c r="B18" i="2"/>
  <c r="B16" i="2"/>
  <c r="B14" i="2"/>
  <c r="B12" i="2"/>
  <c r="B46" i="3"/>
  <c r="B21" i="1"/>
  <c r="B16" i="1"/>
  <c r="E100" i="8" l="1"/>
  <c r="F105" i="8" s="1"/>
  <c r="B34" i="25" s="1"/>
  <c r="D107" i="2"/>
  <c r="E107" i="2" s="1"/>
  <c r="F112" i="2" s="1"/>
  <c r="B34" i="22" s="1"/>
  <c r="D91" i="2"/>
  <c r="E91" i="2" s="1"/>
  <c r="F96" i="2" s="1"/>
  <c r="E108" i="8"/>
  <c r="F113" i="8" s="1"/>
  <c r="B35" i="25" s="1"/>
  <c r="D115" i="2"/>
  <c r="E115" i="2" s="1"/>
  <c r="F120" i="2" s="1"/>
  <c r="B33" i="22" s="1"/>
  <c r="E92" i="8"/>
  <c r="F97" i="8" s="1"/>
  <c r="D99" i="2"/>
  <c r="E99" i="2" s="1"/>
  <c r="F104" i="2" s="1"/>
  <c r="B35" i="22" s="1"/>
  <c r="E116" i="8"/>
  <c r="F121" i="8" s="1"/>
  <c r="B36" i="25" s="1"/>
  <c r="B16" i="23"/>
  <c r="B11" i="16" s="1"/>
  <c r="B17" i="26"/>
  <c r="B16" i="25"/>
  <c r="B13" i="8" s="1"/>
  <c r="B65" i="3" s="1"/>
  <c r="B17" i="25"/>
  <c r="B15" i="8" s="1"/>
  <c r="B18" i="25"/>
  <c r="B17" i="8" s="1"/>
  <c r="B56" i="8" s="1"/>
  <c r="B85" i="25" s="1"/>
  <c r="B19" i="25"/>
  <c r="B19" i="8" s="1"/>
  <c r="B21" i="25"/>
  <c r="B23" i="8" s="1"/>
  <c r="AR9" i="8" s="1"/>
  <c r="B20" i="25"/>
  <c r="B21" i="8" s="1"/>
  <c r="AN14" i="8" s="1"/>
  <c r="B14" i="3"/>
  <c r="B16" i="22"/>
  <c r="B15" i="2" s="1"/>
  <c r="CM9" i="2" s="1"/>
  <c r="B17" i="22"/>
  <c r="B17" i="2" s="1"/>
  <c r="AH28" i="8" s="1"/>
  <c r="B19" i="22"/>
  <c r="B21" i="2" s="1"/>
  <c r="CP19" i="2" s="1"/>
  <c r="B15" i="22"/>
  <c r="B13" i="2" s="1"/>
  <c r="CL23" i="2" s="1"/>
  <c r="B18" i="22"/>
  <c r="B19" i="2" s="1"/>
  <c r="B20" i="22"/>
  <c r="B23" i="2" s="1"/>
  <c r="AU9" i="8" s="1"/>
  <c r="B61" i="9"/>
  <c r="B132" i="23" s="1"/>
  <c r="B61" i="16"/>
  <c r="B134" i="26" s="1"/>
  <c r="B142" i="3"/>
  <c r="AI4" i="9"/>
  <c r="L32" i="16"/>
  <c r="L36" i="16"/>
  <c r="L41" i="16"/>
  <c r="L45" i="16"/>
  <c r="L15" i="16"/>
  <c r="L25" i="16"/>
  <c r="L28" i="16"/>
  <c r="L35" i="16"/>
  <c r="L38" i="16"/>
  <c r="L48" i="16"/>
  <c r="L52" i="16"/>
  <c r="L54" i="16"/>
  <c r="L8" i="16"/>
  <c r="L24" i="16"/>
  <c r="L33" i="16"/>
  <c r="L46" i="16"/>
  <c r="L50" i="16"/>
  <c r="L53" i="16"/>
  <c r="L6" i="16"/>
  <c r="L16" i="16"/>
  <c r="L17" i="16"/>
  <c r="L19" i="16"/>
  <c r="L26" i="16"/>
  <c r="L34" i="16"/>
  <c r="L42" i="16"/>
  <c r="L47" i="16"/>
  <c r="L49" i="16"/>
  <c r="L51" i="16"/>
  <c r="L7" i="16"/>
  <c r="L12" i="16"/>
  <c r="L31" i="16"/>
  <c r="L9" i="16"/>
  <c r="L20" i="16"/>
  <c r="L14" i="16"/>
  <c r="L27" i="16"/>
  <c r="L30" i="16"/>
  <c r="L43" i="16"/>
  <c r="L18" i="16"/>
  <c r="L22" i="16"/>
  <c r="L11" i="16"/>
  <c r="L37" i="16"/>
  <c r="L44" i="16"/>
  <c r="L5" i="16"/>
  <c r="L10" i="16"/>
  <c r="L40" i="16"/>
  <c r="L13" i="16"/>
  <c r="L29" i="16"/>
  <c r="L39" i="16"/>
  <c r="L21" i="16"/>
  <c r="L23" i="16"/>
  <c r="B5" i="16"/>
  <c r="B6" i="16" s="1"/>
  <c r="B7" i="16"/>
  <c r="B53" i="16" s="1"/>
  <c r="B156" i="26" s="1"/>
  <c r="L4" i="16"/>
  <c r="B15" i="9"/>
  <c r="B15" i="16"/>
  <c r="B13" i="9"/>
  <c r="B13" i="16"/>
  <c r="B17" i="9"/>
  <c r="B17" i="16"/>
  <c r="B19" i="9"/>
  <c r="B19" i="16"/>
  <c r="B122" i="3"/>
  <c r="B25" i="16"/>
  <c r="B21" i="16"/>
  <c r="M54" i="9"/>
  <c r="L22" i="2"/>
  <c r="L54" i="2"/>
  <c r="L16" i="8"/>
  <c r="CI16" i="8" s="1"/>
  <c r="L34" i="2"/>
  <c r="L6" i="2"/>
  <c r="L28" i="8"/>
  <c r="CI28" i="8" s="1"/>
  <c r="M20" i="9"/>
  <c r="L12" i="2"/>
  <c r="L46" i="8"/>
  <c r="CI46" i="8" s="1"/>
  <c r="M35" i="9"/>
  <c r="L44" i="2"/>
  <c r="L13" i="2"/>
  <c r="L25" i="2"/>
  <c r="L35" i="2"/>
  <c r="L45" i="2"/>
  <c r="L29" i="8"/>
  <c r="CI29" i="8" s="1"/>
  <c r="L47" i="8"/>
  <c r="CI47" i="8" s="1"/>
  <c r="M22" i="9"/>
  <c r="M40" i="9"/>
  <c r="L17" i="8"/>
  <c r="CI17" i="8" s="1"/>
  <c r="L27" i="2"/>
  <c r="L49" i="2"/>
  <c r="L49" i="8"/>
  <c r="CI49" i="8" s="1"/>
  <c r="M43" i="9"/>
  <c r="L14" i="2"/>
  <c r="L36" i="2"/>
  <c r="L35" i="8"/>
  <c r="CI35" i="8" s="1"/>
  <c r="L48" i="8"/>
  <c r="CI48" i="8" s="1"/>
  <c r="M23" i="9"/>
  <c r="M42" i="9"/>
  <c r="L17" i="2"/>
  <c r="L37" i="2"/>
  <c r="L4" i="8"/>
  <c r="CI4" i="8" s="1"/>
  <c r="L9" i="8"/>
  <c r="CI9" i="8" s="1"/>
  <c r="L36" i="8"/>
  <c r="CI36" i="8" s="1"/>
  <c r="M10" i="9"/>
  <c r="M24" i="9"/>
  <c r="L18" i="2"/>
  <c r="L28" i="2"/>
  <c r="L38" i="2"/>
  <c r="L50" i="2"/>
  <c r="L10" i="8"/>
  <c r="CI10" i="8" s="1"/>
  <c r="L19" i="8"/>
  <c r="CI19" i="8" s="1"/>
  <c r="L37" i="8"/>
  <c r="CI37" i="8" s="1"/>
  <c r="M11" i="9"/>
  <c r="M29" i="9"/>
  <c r="M44" i="9"/>
  <c r="L9" i="2"/>
  <c r="L19" i="2"/>
  <c r="L29" i="2"/>
  <c r="L41" i="2"/>
  <c r="L51" i="2"/>
  <c r="L5" i="8"/>
  <c r="CI5" i="8" s="1"/>
  <c r="L11" i="8"/>
  <c r="CI11" i="8" s="1"/>
  <c r="L24" i="8"/>
  <c r="CI24" i="8" s="1"/>
  <c r="L38" i="8"/>
  <c r="CI38" i="8" s="1"/>
  <c r="M4" i="9"/>
  <c r="M13" i="9"/>
  <c r="M31" i="9"/>
  <c r="M45" i="9"/>
  <c r="L5" i="2"/>
  <c r="L10" i="2"/>
  <c r="L20" i="2"/>
  <c r="L30" i="2"/>
  <c r="L42" i="2"/>
  <c r="L52" i="2"/>
  <c r="L12" i="8"/>
  <c r="CI12" i="8" s="1"/>
  <c r="L25" i="8"/>
  <c r="CI25" i="8" s="1"/>
  <c r="L39" i="8"/>
  <c r="CI39" i="8" s="1"/>
  <c r="M14" i="9"/>
  <c r="M32" i="9"/>
  <c r="M51" i="9"/>
  <c r="L7" i="2"/>
  <c r="L26" i="2"/>
  <c r="L46" i="2"/>
  <c r="L11" i="2"/>
  <c r="L21" i="2"/>
  <c r="L33" i="2"/>
  <c r="L43" i="2"/>
  <c r="L53" i="2"/>
  <c r="L6" i="8"/>
  <c r="CI6" i="8" s="1"/>
  <c r="L27" i="8"/>
  <c r="CI27" i="8" s="1"/>
  <c r="L45" i="8"/>
  <c r="CI45" i="8" s="1"/>
  <c r="M19" i="9"/>
  <c r="M34" i="9"/>
  <c r="M52" i="9"/>
  <c r="L14" i="8"/>
  <c r="CI14" i="8" s="1"/>
  <c r="L20" i="8"/>
  <c r="CI20" i="8" s="1"/>
  <c r="L30" i="8"/>
  <c r="CI30" i="8" s="1"/>
  <c r="L40" i="8"/>
  <c r="CI40" i="8" s="1"/>
  <c r="L52" i="8"/>
  <c r="CI52" i="8" s="1"/>
  <c r="M7" i="9"/>
  <c r="M15" i="9"/>
  <c r="M26" i="9"/>
  <c r="M36" i="9"/>
  <c r="M46" i="9"/>
  <c r="L4" i="2"/>
  <c r="L8" i="2"/>
  <c r="L15" i="2"/>
  <c r="L23" i="2"/>
  <c r="L31" i="2"/>
  <c r="L39" i="2"/>
  <c r="L47" i="2"/>
  <c r="L15" i="8"/>
  <c r="CI15" i="8" s="1"/>
  <c r="L21" i="8"/>
  <c r="CI21" i="8" s="1"/>
  <c r="L31" i="8"/>
  <c r="CI31" i="8" s="1"/>
  <c r="L43" i="8"/>
  <c r="CI43" i="8" s="1"/>
  <c r="L53" i="8"/>
  <c r="CI53" i="8" s="1"/>
  <c r="M16" i="9"/>
  <c r="M27" i="9"/>
  <c r="M37" i="9"/>
  <c r="M47" i="9"/>
  <c r="L16" i="2"/>
  <c r="L24" i="2"/>
  <c r="L32" i="2"/>
  <c r="L40" i="2"/>
  <c r="L48" i="2"/>
  <c r="L8" i="8"/>
  <c r="CI8" i="8" s="1"/>
  <c r="L22" i="8"/>
  <c r="CI22" i="8" s="1"/>
  <c r="L33" i="8"/>
  <c r="CI33" i="8" s="1"/>
  <c r="L44" i="8"/>
  <c r="CI44" i="8" s="1"/>
  <c r="L54" i="8"/>
  <c r="CI54" i="8" s="1"/>
  <c r="M8" i="9"/>
  <c r="M18" i="9"/>
  <c r="M28" i="9"/>
  <c r="M38" i="9"/>
  <c r="M50" i="9"/>
  <c r="B85" i="3"/>
  <c r="B6" i="7"/>
  <c r="L23" i="8"/>
  <c r="CI23" i="8" s="1"/>
  <c r="L32" i="8"/>
  <c r="CI32" i="8" s="1"/>
  <c r="L41" i="8"/>
  <c r="CI41" i="8" s="1"/>
  <c r="L51" i="8"/>
  <c r="CI51" i="8" s="1"/>
  <c r="M6" i="9"/>
  <c r="M12" i="9"/>
  <c r="M21" i="9"/>
  <c r="M30" i="9"/>
  <c r="M39" i="9"/>
  <c r="M48" i="9"/>
  <c r="M53" i="9"/>
  <c r="L7" i="8"/>
  <c r="CI7" i="8" s="1"/>
  <c r="L13" i="8"/>
  <c r="CI13" i="8" s="1"/>
  <c r="L18" i="8"/>
  <c r="CI18" i="8" s="1"/>
  <c r="L26" i="8"/>
  <c r="CI26" i="8" s="1"/>
  <c r="L34" i="8"/>
  <c r="CI34" i="8" s="1"/>
  <c r="L42" i="8"/>
  <c r="CI42" i="8" s="1"/>
  <c r="L50" i="8"/>
  <c r="CI50" i="8" s="1"/>
  <c r="M5" i="9"/>
  <c r="M9" i="9"/>
  <c r="M17" i="9"/>
  <c r="M25" i="9"/>
  <c r="M33" i="9"/>
  <c r="M41" i="9"/>
  <c r="M49" i="9"/>
  <c r="B25" i="9"/>
  <c r="B26" i="26" s="1"/>
  <c r="B11" i="9" l="1"/>
  <c r="M44" i="2"/>
  <c r="CF44" i="2" s="1"/>
  <c r="CI44" i="2"/>
  <c r="M24" i="2"/>
  <c r="CF24" i="2" s="1"/>
  <c r="CI24" i="2"/>
  <c r="M8" i="2"/>
  <c r="CF8" i="2" s="1"/>
  <c r="CI8" i="2"/>
  <c r="M26" i="2"/>
  <c r="CF26" i="2" s="1"/>
  <c r="CI26" i="2"/>
  <c r="M52" i="2"/>
  <c r="CF52" i="2" s="1"/>
  <c r="CI52" i="2"/>
  <c r="M29" i="2"/>
  <c r="BX29" i="2" s="1"/>
  <c r="CE29" i="2" s="1"/>
  <c r="CI29" i="2"/>
  <c r="M36" i="2"/>
  <c r="CF36" i="2" s="1"/>
  <c r="CI36" i="2"/>
  <c r="M54" i="2"/>
  <c r="CF54" i="2" s="1"/>
  <c r="CI54" i="2"/>
  <c r="M16" i="2"/>
  <c r="CF16" i="2" s="1"/>
  <c r="CI16" i="2"/>
  <c r="M4" i="2"/>
  <c r="CF4" i="2" s="1"/>
  <c r="CI4" i="2"/>
  <c r="M7" i="2"/>
  <c r="CF7" i="2" s="1"/>
  <c r="CI7" i="2"/>
  <c r="M42" i="2"/>
  <c r="CF42" i="2" s="1"/>
  <c r="CI42" i="2"/>
  <c r="M19" i="2"/>
  <c r="CF19" i="2" s="1"/>
  <c r="CI19" i="2"/>
  <c r="M50" i="2"/>
  <c r="BX50" i="2" s="1"/>
  <c r="CE50" i="2" s="1"/>
  <c r="CI50" i="2"/>
  <c r="M14" i="2"/>
  <c r="CF14" i="2" s="1"/>
  <c r="CI14" i="2"/>
  <c r="M22" i="2"/>
  <c r="CF22" i="2" s="1"/>
  <c r="CI22" i="2"/>
  <c r="M41" i="2"/>
  <c r="CF41" i="2" s="1"/>
  <c r="CI41" i="2"/>
  <c r="M33" i="2"/>
  <c r="CF33" i="2" s="1"/>
  <c r="CI33" i="2"/>
  <c r="M10" i="2"/>
  <c r="BX10" i="2" s="1"/>
  <c r="CE10" i="2" s="1"/>
  <c r="CI10" i="2"/>
  <c r="M18" i="2"/>
  <c r="CF18" i="2" s="1"/>
  <c r="CI18" i="2"/>
  <c r="M49" i="2"/>
  <c r="CF49" i="2" s="1"/>
  <c r="CI49" i="2"/>
  <c r="M35" i="2"/>
  <c r="CF35" i="2" s="1"/>
  <c r="CI35" i="2"/>
  <c r="M32" i="2"/>
  <c r="CF32" i="2" s="1"/>
  <c r="CI32" i="2"/>
  <c r="M9" i="2"/>
  <c r="CF9" i="2" s="1"/>
  <c r="CI9" i="2"/>
  <c r="M37" i="2"/>
  <c r="CF37" i="2" s="1"/>
  <c r="CI37" i="2"/>
  <c r="M12" i="2"/>
  <c r="CF12" i="2" s="1"/>
  <c r="CI12" i="2"/>
  <c r="M47" i="2"/>
  <c r="CF47" i="2" s="1"/>
  <c r="CI47" i="2"/>
  <c r="M43" i="2"/>
  <c r="CF43" i="2" s="1"/>
  <c r="CI43" i="2"/>
  <c r="M20" i="2"/>
  <c r="CF20" i="2" s="1"/>
  <c r="CI20" i="2"/>
  <c r="M39" i="2"/>
  <c r="BX39" i="2" s="1"/>
  <c r="CE39" i="2" s="1"/>
  <c r="CI39" i="2"/>
  <c r="M48" i="2"/>
  <c r="CF48" i="2" s="1"/>
  <c r="CI48" i="2"/>
  <c r="M31" i="2"/>
  <c r="CF31" i="2" s="1"/>
  <c r="CI31" i="2"/>
  <c r="M21" i="2"/>
  <c r="CF21" i="2" s="1"/>
  <c r="CI21" i="2"/>
  <c r="M5" i="2"/>
  <c r="CF5" i="2" s="1"/>
  <c r="CI5" i="2"/>
  <c r="M27" i="2"/>
  <c r="BX27" i="2" s="1"/>
  <c r="CE27" i="2" s="1"/>
  <c r="CI27" i="2"/>
  <c r="M25" i="2"/>
  <c r="CF25" i="2" s="1"/>
  <c r="CI25" i="2"/>
  <c r="M6" i="2"/>
  <c r="CF6" i="2" s="1"/>
  <c r="CI6" i="2"/>
  <c r="M15" i="2"/>
  <c r="BX15" i="2" s="1"/>
  <c r="CE15" i="2" s="1"/>
  <c r="CI15" i="2"/>
  <c r="M46" i="2"/>
  <c r="CF46" i="2" s="1"/>
  <c r="CI46" i="2"/>
  <c r="M53" i="2"/>
  <c r="BX53" i="2" s="1"/>
  <c r="CE53" i="2" s="1"/>
  <c r="CI53" i="2"/>
  <c r="M30" i="2"/>
  <c r="CF30" i="2" s="1"/>
  <c r="CI30" i="2"/>
  <c r="M38" i="2"/>
  <c r="CF38" i="2" s="1"/>
  <c r="CI38" i="2"/>
  <c r="M28" i="2"/>
  <c r="BX28" i="2" s="1"/>
  <c r="CE28" i="2" s="1"/>
  <c r="CI28" i="2"/>
  <c r="M17" i="2"/>
  <c r="CF17" i="2" s="1"/>
  <c r="CI17" i="2"/>
  <c r="M45" i="2"/>
  <c r="BX45" i="2" s="1"/>
  <c r="CE45" i="2" s="1"/>
  <c r="CI45" i="2"/>
  <c r="M40" i="2"/>
  <c r="CF40" i="2" s="1"/>
  <c r="CI40" i="2"/>
  <c r="M23" i="2"/>
  <c r="BX23" i="2" s="1"/>
  <c r="CE23" i="2" s="1"/>
  <c r="CI23" i="2"/>
  <c r="M11" i="2"/>
  <c r="CF11" i="2" s="1"/>
  <c r="CI11" i="2"/>
  <c r="M51" i="2"/>
  <c r="CF51" i="2" s="1"/>
  <c r="CI51" i="2"/>
  <c r="M13" i="2"/>
  <c r="CF13" i="2" s="1"/>
  <c r="CI13" i="2"/>
  <c r="M34" i="2"/>
  <c r="BX34" i="2" s="1"/>
  <c r="CE34" i="2" s="1"/>
  <c r="CI34" i="2"/>
  <c r="B37" i="25"/>
  <c r="I121" i="8"/>
  <c r="C68" i="1" s="1"/>
  <c r="B36" i="22"/>
  <c r="I120" i="2"/>
  <c r="C67" i="1" s="1"/>
  <c r="AQ24" i="2"/>
  <c r="AP14" i="8"/>
  <c r="AO38" i="2"/>
  <c r="AN4" i="2"/>
  <c r="AN50" i="2"/>
  <c r="AN20" i="2"/>
  <c r="AP37" i="2"/>
  <c r="AQ44" i="2"/>
  <c r="AO37" i="2"/>
  <c r="AQ51" i="2"/>
  <c r="AQ23" i="2"/>
  <c r="AP43" i="2"/>
  <c r="AO7" i="2"/>
  <c r="AP15" i="2"/>
  <c r="AP47" i="2"/>
  <c r="AO33" i="2"/>
  <c r="AP16" i="2"/>
  <c r="AQ25" i="2"/>
  <c r="AQ46" i="2"/>
  <c r="AN21" i="2"/>
  <c r="AO51" i="2"/>
  <c r="AQ13" i="2"/>
  <c r="AO39" i="2"/>
  <c r="AN52" i="2"/>
  <c r="AP44" i="2"/>
  <c r="AN22" i="2"/>
  <c r="AG36" i="8"/>
  <c r="AG52" i="8"/>
  <c r="AG30" i="8"/>
  <c r="AF22" i="8"/>
  <c r="AF17" i="8"/>
  <c r="AG16" i="8"/>
  <c r="AG44" i="8"/>
  <c r="AF35" i="8"/>
  <c r="AG19" i="8"/>
  <c r="AF46" i="8"/>
  <c r="B67" i="3"/>
  <c r="H67" i="3" s="1"/>
  <c r="G75" i="3" s="1"/>
  <c r="AF48" i="8"/>
  <c r="AF25" i="8"/>
  <c r="AG21" i="8"/>
  <c r="AF45" i="8"/>
  <c r="AF28" i="8"/>
  <c r="AG15" i="8"/>
  <c r="AG50" i="8"/>
  <c r="AG27" i="8"/>
  <c r="AG20" i="8"/>
  <c r="AG25" i="8"/>
  <c r="AG38" i="8"/>
  <c r="AG14" i="8"/>
  <c r="AF26" i="8"/>
  <c r="AF53" i="8"/>
  <c r="AG47" i="8"/>
  <c r="AF20" i="8"/>
  <c r="AG46" i="8"/>
  <c r="AF33" i="8"/>
  <c r="AF44" i="8"/>
  <c r="AF12" i="8"/>
  <c r="AF14" i="8"/>
  <c r="AG9" i="8"/>
  <c r="AG37" i="8"/>
  <c r="AG26" i="8"/>
  <c r="AF7" i="8"/>
  <c r="AF37" i="8"/>
  <c r="AG22" i="8"/>
  <c r="AG4" i="8"/>
  <c r="AG48" i="8"/>
  <c r="AF52" i="8"/>
  <c r="AG41" i="8"/>
  <c r="AF30" i="8"/>
  <c r="AF31" i="8"/>
  <c r="AG6" i="8"/>
  <c r="AG35" i="8"/>
  <c r="AF42" i="8"/>
  <c r="AG51" i="8"/>
  <c r="AF39" i="8"/>
  <c r="AF29" i="8"/>
  <c r="AG24" i="8"/>
  <c r="AF14" i="2"/>
  <c r="AH9" i="2"/>
  <c r="AI13" i="2"/>
  <c r="AI28" i="2"/>
  <c r="AG19" i="2"/>
  <c r="AF8" i="2"/>
  <c r="AH51" i="8"/>
  <c r="AH34" i="2"/>
  <c r="AG28" i="2"/>
  <c r="AI18" i="2"/>
  <c r="AH5" i="2"/>
  <c r="AI17" i="8"/>
  <c r="AG52" i="2"/>
  <c r="AG12" i="2"/>
  <c r="AF46" i="2"/>
  <c r="AI31" i="2"/>
  <c r="AG4" i="2"/>
  <c r="AI24" i="2"/>
  <c r="AG40" i="2"/>
  <c r="AH40" i="2"/>
  <c r="AI19" i="2"/>
  <c r="AI38" i="2"/>
  <c r="AH16" i="2"/>
  <c r="AI45" i="8"/>
  <c r="AI44" i="2"/>
  <c r="AG23" i="2"/>
  <c r="AH24" i="2"/>
  <c r="AI15" i="2"/>
  <c r="AF30" i="2"/>
  <c r="AI30" i="2"/>
  <c r="AH27" i="2"/>
  <c r="AG27" i="2"/>
  <c r="AH12" i="2"/>
  <c r="AH52" i="2"/>
  <c r="AI20" i="2"/>
  <c r="AH46" i="2"/>
  <c r="AG36" i="2"/>
  <c r="AG25" i="2"/>
  <c r="AG45" i="2"/>
  <c r="AH31" i="2"/>
  <c r="AF11" i="2"/>
  <c r="AH22" i="2"/>
  <c r="AI7" i="2"/>
  <c r="AH51" i="2"/>
  <c r="AG7" i="2"/>
  <c r="AH39" i="2"/>
  <c r="AI51" i="2"/>
  <c r="AI22" i="2"/>
  <c r="AG39" i="2"/>
  <c r="AH23" i="2"/>
  <c r="AH8" i="2"/>
  <c r="AH18" i="2"/>
  <c r="AF38" i="2"/>
  <c r="AI5" i="2"/>
  <c r="AI45" i="2"/>
  <c r="AF18" i="2"/>
  <c r="AH10" i="2"/>
  <c r="AI4" i="2"/>
  <c r="AH37" i="2"/>
  <c r="AI41" i="2"/>
  <c r="AH43" i="2"/>
  <c r="AG43" i="2"/>
  <c r="AI26" i="2"/>
  <c r="AH15" i="2"/>
  <c r="AH21" i="2"/>
  <c r="AH6" i="2"/>
  <c r="AI18" i="8"/>
  <c r="AH42" i="2"/>
  <c r="AG50" i="2"/>
  <c r="AG33" i="2"/>
  <c r="AH25" i="2"/>
  <c r="AH4" i="2"/>
  <c r="AI29" i="2"/>
  <c r="AF42" i="2"/>
  <c r="AG31" i="2"/>
  <c r="AF6" i="2"/>
  <c r="AI34" i="2"/>
  <c r="AG21" i="2"/>
  <c r="AH28" i="2"/>
  <c r="AH13" i="2"/>
  <c r="AF5" i="2"/>
  <c r="AH39" i="8"/>
  <c r="AQ29" i="8"/>
  <c r="CP20" i="2"/>
  <c r="AP52" i="2"/>
  <c r="AP41" i="2"/>
  <c r="AO19" i="2"/>
  <c r="AQ50" i="2"/>
  <c r="AQ26" i="2"/>
  <c r="AQ36" i="2"/>
  <c r="AN14" i="2"/>
  <c r="AN16" i="2"/>
  <c r="AP18" i="2"/>
  <c r="AO22" i="2"/>
  <c r="AQ54" i="2"/>
  <c r="AO53" i="2"/>
  <c r="AN36" i="2"/>
  <c r="AP45" i="2"/>
  <c r="AP49" i="2"/>
  <c r="AO40" i="2"/>
  <c r="AP23" i="2"/>
  <c r="AO21" i="2"/>
  <c r="AQ28" i="2"/>
  <c r="AQ34" i="2"/>
  <c r="AP40" i="2"/>
  <c r="AN6" i="2"/>
  <c r="AN11" i="2"/>
  <c r="AP13" i="2"/>
  <c r="AP14" i="2"/>
  <c r="AO18" i="2"/>
  <c r="AP23" i="8"/>
  <c r="AP20" i="8"/>
  <c r="AQ16" i="8"/>
  <c r="CP51" i="2"/>
  <c r="AO52" i="2"/>
  <c r="AQ41" i="2"/>
  <c r="AQ21" i="2"/>
  <c r="AN38" i="2"/>
  <c r="AN47" i="2"/>
  <c r="AQ37" i="2"/>
  <c r="AN10" i="2"/>
  <c r="AO13" i="2"/>
  <c r="AQ20" i="2"/>
  <c r="AQ30" i="2"/>
  <c r="AN39" i="2"/>
  <c r="AP32" i="2"/>
  <c r="AN7" i="2"/>
  <c r="AP9" i="2"/>
  <c r="AP10" i="2"/>
  <c r="AQ15" i="2"/>
  <c r="AP18" i="8"/>
  <c r="AQ53" i="8"/>
  <c r="AQ13" i="8"/>
  <c r="CP43" i="2"/>
  <c r="AQ17" i="2"/>
  <c r="AN53" i="2"/>
  <c r="AN37" i="2"/>
  <c r="AO31" i="2"/>
  <c r="AN46" i="2"/>
  <c r="AP12" i="2"/>
  <c r="AN48" i="2"/>
  <c r="AO27" i="2"/>
  <c r="AQ5" i="2"/>
  <c r="AP35" i="2"/>
  <c r="AP42" i="2"/>
  <c r="AQ16" i="2"/>
  <c r="AO49" i="2"/>
  <c r="AO5" i="2"/>
  <c r="AO15" i="2"/>
  <c r="AO25" i="2"/>
  <c r="AN35" i="2"/>
  <c r="AP28" i="2"/>
  <c r="AN32" i="2"/>
  <c r="AN8" i="2"/>
  <c r="AN9" i="2"/>
  <c r="AQ11" i="2"/>
  <c r="AP4" i="8"/>
  <c r="AQ48" i="8"/>
  <c r="AQ5" i="8"/>
  <c r="CP45" i="2"/>
  <c r="AO17" i="2"/>
  <c r="AQ33" i="2"/>
  <c r="AN27" i="2"/>
  <c r="AP29" i="2"/>
  <c r="AP30" i="2"/>
  <c r="AN5" i="2"/>
  <c r="AQ7" i="2"/>
  <c r="AP24" i="8"/>
  <c r="AQ40" i="8"/>
  <c r="AQ4" i="8"/>
  <c r="AO4" i="2"/>
  <c r="AP39" i="2"/>
  <c r="AQ8" i="2"/>
  <c r="AP38" i="2"/>
  <c r="AQ9" i="2"/>
  <c r="AN34" i="2"/>
  <c r="AO50" i="2"/>
  <c r="AO42" i="2"/>
  <c r="AO44" i="2"/>
  <c r="AO46" i="2"/>
  <c r="AQ14" i="2"/>
  <c r="AO32" i="2"/>
  <c r="AN23" i="2"/>
  <c r="AP25" i="2"/>
  <c r="AP26" i="2"/>
  <c r="AQ31" i="2"/>
  <c r="AO6" i="2"/>
  <c r="AP19" i="8"/>
  <c r="AQ37" i="8"/>
  <c r="CP38" i="2"/>
  <c r="AO20" i="2"/>
  <c r="AP53" i="2"/>
  <c r="AP31" i="2"/>
  <c r="AQ49" i="2"/>
  <c r="AQ29" i="2"/>
  <c r="AO48" i="2"/>
  <c r="AQ38" i="2"/>
  <c r="AO43" i="2"/>
  <c r="AO45" i="2"/>
  <c r="AQ6" i="2"/>
  <c r="AP27" i="2"/>
  <c r="AN19" i="2"/>
  <c r="AN24" i="2"/>
  <c r="AN25" i="2"/>
  <c r="AQ27" i="2"/>
  <c r="AP46" i="8"/>
  <c r="AQ32" i="8"/>
  <c r="CP4" i="2"/>
  <c r="AP7" i="8"/>
  <c r="AP33" i="8"/>
  <c r="AQ21" i="8"/>
  <c r="CP22" i="2"/>
  <c r="CP25" i="2"/>
  <c r="AP46" i="2"/>
  <c r="AN44" i="2"/>
  <c r="AO36" i="2"/>
  <c r="AN51" i="2"/>
  <c r="AN41" i="2"/>
  <c r="AN43" i="2"/>
  <c r="AQ42" i="2"/>
  <c r="AN40" i="2"/>
  <c r="AO47" i="2"/>
  <c r="AN49" i="2"/>
  <c r="AP7" i="2"/>
  <c r="AO29" i="2"/>
  <c r="AQ45" i="2"/>
  <c r="AO23" i="2"/>
  <c r="AQ40" i="2"/>
  <c r="AQ22" i="2"/>
  <c r="AN45" i="2"/>
  <c r="AN30" i="2"/>
  <c r="AN31" i="2"/>
  <c r="AN15" i="2"/>
  <c r="AN28" i="2"/>
  <c r="AN12" i="2"/>
  <c r="AP22" i="2"/>
  <c r="AP6" i="2"/>
  <c r="AQ19" i="2"/>
  <c r="AP32" i="8"/>
  <c r="AP9" i="8"/>
  <c r="AQ36" i="8"/>
  <c r="AQ8" i="8"/>
  <c r="CP39" i="2"/>
  <c r="CP11" i="2"/>
  <c r="AP4" i="2"/>
  <c r="AP51" i="2"/>
  <c r="AQ53" i="2"/>
  <c r="AO11" i="2"/>
  <c r="AO24" i="2"/>
  <c r="AN18" i="2"/>
  <c r="AO28" i="2"/>
  <c r="AP50" i="2"/>
  <c r="AN33" i="2"/>
  <c r="AO34" i="2"/>
  <c r="AN42" i="2"/>
  <c r="AQ43" i="2"/>
  <c r="AQ18" i="2"/>
  <c r="AQ39" i="2"/>
  <c r="AQ12" i="2"/>
  <c r="AO35" i="2"/>
  <c r="AO9" i="2"/>
  <c r="AP36" i="2"/>
  <c r="AP19" i="2"/>
  <c r="AP24" i="2"/>
  <c r="AP8" i="2"/>
  <c r="AP21" i="2"/>
  <c r="AP5" i="2"/>
  <c r="AN17" i="2"/>
  <c r="AO30" i="2"/>
  <c r="AO14" i="2"/>
  <c r="AP45" i="8"/>
  <c r="AP51" i="8"/>
  <c r="AQ52" i="8"/>
  <c r="AQ24" i="8"/>
  <c r="B59" i="2"/>
  <c r="B90" i="22" s="1"/>
  <c r="CP26" i="2"/>
  <c r="AO54" i="2"/>
  <c r="AQ4" i="2"/>
  <c r="AP54" i="2"/>
  <c r="AO8" i="2"/>
  <c r="AN54" i="2"/>
  <c r="AO12" i="2"/>
  <c r="AQ48" i="2"/>
  <c r="AO16" i="2"/>
  <c r="AQ52" i="2"/>
  <c r="AN26" i="2"/>
  <c r="AO41" i="2"/>
  <c r="AQ10" i="2"/>
  <c r="AQ35" i="2"/>
  <c r="AQ47" i="2"/>
  <c r="AQ32" i="2"/>
  <c r="AP48" i="2"/>
  <c r="AP34" i="2"/>
  <c r="AP11" i="2"/>
  <c r="AP20" i="2"/>
  <c r="AP33" i="2"/>
  <c r="AP17" i="2"/>
  <c r="AN29" i="2"/>
  <c r="AN13" i="2"/>
  <c r="AO26" i="2"/>
  <c r="AO10" i="2"/>
  <c r="AP21" i="8"/>
  <c r="AP22" i="8"/>
  <c r="AQ45" i="8"/>
  <c r="AQ20" i="8"/>
  <c r="CP50" i="2"/>
  <c r="CP40" i="2"/>
  <c r="AP37" i="8"/>
  <c r="AP34" i="8"/>
  <c r="AP38" i="8"/>
  <c r="AP12" i="8"/>
  <c r="AQ39" i="8"/>
  <c r="AQ23" i="8"/>
  <c r="AQ7" i="8"/>
  <c r="CP44" i="2"/>
  <c r="CP28" i="2"/>
  <c r="CP6" i="2"/>
  <c r="AP15" i="8"/>
  <c r="AP48" i="8"/>
  <c r="AP25" i="8"/>
  <c r="AQ47" i="8"/>
  <c r="AQ31" i="8"/>
  <c r="AQ15" i="8"/>
  <c r="CP12" i="2"/>
  <c r="CP48" i="2"/>
  <c r="CP49" i="2"/>
  <c r="AP29" i="8"/>
  <c r="AP43" i="8"/>
  <c r="AP52" i="8"/>
  <c r="AQ44" i="8"/>
  <c r="AQ28" i="8"/>
  <c r="AQ12" i="8"/>
  <c r="CP16" i="2"/>
  <c r="CP42" i="2"/>
  <c r="CP29" i="2"/>
  <c r="CN21" i="2"/>
  <c r="AH38" i="8"/>
  <c r="B54" i="8"/>
  <c r="B83" i="25" s="1"/>
  <c r="AU12" i="8"/>
  <c r="CP17" i="2"/>
  <c r="CP13" i="2"/>
  <c r="AS44" i="2"/>
  <c r="AN45" i="8"/>
  <c r="CP7" i="2"/>
  <c r="AO51" i="8"/>
  <c r="AU24" i="2"/>
  <c r="AN17" i="8"/>
  <c r="AS7" i="2"/>
  <c r="AO47" i="8"/>
  <c r="AS47" i="8"/>
  <c r="AR36" i="8"/>
  <c r="AN18" i="8"/>
  <c r="AN50" i="8"/>
  <c r="AR41" i="8"/>
  <c r="CM50" i="2"/>
  <c r="AS17" i="2"/>
  <c r="AS45" i="8"/>
  <c r="AT41" i="2"/>
  <c r="AS28" i="2"/>
  <c r="AU18" i="2"/>
  <c r="AR7" i="8"/>
  <c r="AT4" i="2"/>
  <c r="AT45" i="2"/>
  <c r="AS51" i="8"/>
  <c r="AT38" i="8"/>
  <c r="CO22" i="2"/>
  <c r="AL5" i="8"/>
  <c r="AL15" i="2"/>
  <c r="AM45" i="2"/>
  <c r="AJ48" i="2"/>
  <c r="AK37" i="2"/>
  <c r="AJ32" i="2"/>
  <c r="AR42" i="8"/>
  <c r="AR34" i="8"/>
  <c r="AS35" i="8"/>
  <c r="AS6" i="8"/>
  <c r="AR32" i="8"/>
  <c r="AS25" i="8"/>
  <c r="AS41" i="8"/>
  <c r="AS52" i="8"/>
  <c r="AS19" i="8"/>
  <c r="AR38" i="8"/>
  <c r="CM12" i="2"/>
  <c r="AS40" i="8"/>
  <c r="AR52" i="8"/>
  <c r="AS44" i="8"/>
  <c r="AS5" i="8"/>
  <c r="AR28" i="8"/>
  <c r="CM28" i="2"/>
  <c r="AS21" i="8"/>
  <c r="AR53" i="8"/>
  <c r="AR30" i="8"/>
  <c r="AR31" i="8"/>
  <c r="CM4" i="2"/>
  <c r="AK9" i="8"/>
  <c r="AJ17" i="8"/>
  <c r="AK34" i="8"/>
  <c r="AJ35" i="8"/>
  <c r="AK12" i="8"/>
  <c r="H13" i="8"/>
  <c r="I13" i="8" s="1"/>
  <c r="AJ8" i="8"/>
  <c r="AK5" i="8"/>
  <c r="AK33" i="8"/>
  <c r="AK10" i="8"/>
  <c r="AK8" i="8"/>
  <c r="AJ46" i="8"/>
  <c r="AK37" i="8"/>
  <c r="AJ39" i="8"/>
  <c r="AJ34" i="8"/>
  <c r="AK28" i="8"/>
  <c r="AK45" i="8"/>
  <c r="AK52" i="8"/>
  <c r="AK50" i="8"/>
  <c r="AJ15" i="8"/>
  <c r="AJ10" i="8"/>
  <c r="AJ6" i="8"/>
  <c r="AJ11" i="8"/>
  <c r="AK41" i="8"/>
  <c r="AK24" i="8"/>
  <c r="AJ32" i="8"/>
  <c r="AJ53" i="8"/>
  <c r="AJ4" i="8"/>
  <c r="AJ46" i="2"/>
  <c r="AM42" i="2"/>
  <c r="AJ23" i="2"/>
  <c r="AS49" i="2"/>
  <c r="AS47" i="2"/>
  <c r="AL51" i="2"/>
  <c r="AM18" i="2"/>
  <c r="AM17" i="2"/>
  <c r="AN44" i="8"/>
  <c r="AR47" i="2"/>
  <c r="AT6" i="2"/>
  <c r="AM52" i="2"/>
  <c r="AK6" i="2"/>
  <c r="AJ12" i="2"/>
  <c r="AN53" i="8"/>
  <c r="AO13" i="8"/>
  <c r="AT53" i="8"/>
  <c r="AM51" i="8"/>
  <c r="CQ11" i="2"/>
  <c r="AL44" i="2"/>
  <c r="B26" i="2"/>
  <c r="O17" i="2" s="1"/>
  <c r="AR40" i="2"/>
  <c r="AR30" i="2"/>
  <c r="AJ54" i="2"/>
  <c r="AJ45" i="2"/>
  <c r="AJ21" i="2"/>
  <c r="AO42" i="8"/>
  <c r="AO6" i="8"/>
  <c r="AT35" i="8"/>
  <c r="AM19" i="8"/>
  <c r="CQ31" i="2"/>
  <c r="CO26" i="2"/>
  <c r="AJ51" i="2"/>
  <c r="AU46" i="2"/>
  <c r="AR6" i="2"/>
  <c r="AK44" i="2"/>
  <c r="AM47" i="2"/>
  <c r="AJ34" i="2"/>
  <c r="AN52" i="8"/>
  <c r="AL37" i="8"/>
  <c r="B58" i="8"/>
  <c r="B87" i="25" s="1"/>
  <c r="CL48" i="2"/>
  <c r="CO16" i="2"/>
  <c r="CO43" i="2"/>
  <c r="CO50" i="2"/>
  <c r="AL8" i="8"/>
  <c r="AL24" i="8"/>
  <c r="AL40" i="8"/>
  <c r="AM6" i="8"/>
  <c r="AM22" i="8"/>
  <c r="AM38" i="8"/>
  <c r="AM54" i="8"/>
  <c r="AM5" i="2"/>
  <c r="AM21" i="2"/>
  <c r="AL12" i="2"/>
  <c r="AL28" i="2"/>
  <c r="CO34" i="2"/>
  <c r="CO17" i="2"/>
  <c r="CO32" i="2"/>
  <c r="B58" i="2"/>
  <c r="B89" i="22" s="1"/>
  <c r="AL12" i="8"/>
  <c r="AL28" i="8"/>
  <c r="AL44" i="8"/>
  <c r="AM10" i="8"/>
  <c r="AM26" i="8"/>
  <c r="AM42" i="8"/>
  <c r="AK8" i="2"/>
  <c r="AK24" i="2"/>
  <c r="CO37" i="2"/>
  <c r="CO19" i="2"/>
  <c r="CO35" i="2"/>
  <c r="AL13" i="8"/>
  <c r="AL29" i="8"/>
  <c r="AL45" i="8"/>
  <c r="AM11" i="8"/>
  <c r="AM27" i="8"/>
  <c r="AM43" i="8"/>
  <c r="AM9" i="2"/>
  <c r="AM25" i="2"/>
  <c r="AL16" i="2"/>
  <c r="AL32" i="2"/>
  <c r="CO54" i="2"/>
  <c r="CO42" i="2"/>
  <c r="CO4" i="2"/>
  <c r="AL16" i="8"/>
  <c r="AL32" i="8"/>
  <c r="AL48" i="8"/>
  <c r="AM14" i="8"/>
  <c r="AM30" i="8"/>
  <c r="AM46" i="8"/>
  <c r="AM13" i="2"/>
  <c r="AM29" i="2"/>
  <c r="AL20" i="2"/>
  <c r="AL7" i="2"/>
  <c r="AL23" i="2"/>
  <c r="AJ9" i="2"/>
  <c r="AJ25" i="2"/>
  <c r="AL17" i="2"/>
  <c r="AL43" i="2"/>
  <c r="AM28" i="2"/>
  <c r="AK5" i="2"/>
  <c r="AK36" i="2"/>
  <c r="AK11" i="2"/>
  <c r="AK35" i="2"/>
  <c r="AL13" i="2"/>
  <c r="AL47" i="2"/>
  <c r="AK10" i="2"/>
  <c r="AL46" i="2"/>
  <c r="AL45" i="2"/>
  <c r="AK51" i="2"/>
  <c r="AM41" i="2"/>
  <c r="AL9" i="2"/>
  <c r="AJ19" i="2"/>
  <c r="AL36" i="8"/>
  <c r="CO41" i="2"/>
  <c r="H15" i="8"/>
  <c r="I15" i="8" s="1"/>
  <c r="AM54" i="2"/>
  <c r="AL37" i="2"/>
  <c r="AM30" i="2"/>
  <c r="AJ44" i="2"/>
  <c r="AL36" i="2"/>
  <c r="AL41" i="2"/>
  <c r="AM35" i="2"/>
  <c r="AJ43" i="2"/>
  <c r="AK43" i="2"/>
  <c r="AJ35" i="2"/>
  <c r="AK45" i="2"/>
  <c r="AM24" i="2"/>
  <c r="AK40" i="2"/>
  <c r="AM10" i="2"/>
  <c r="AK23" i="2"/>
  <c r="AJ41" i="2"/>
  <c r="AL34" i="2"/>
  <c r="AJ17" i="2"/>
  <c r="AJ30" i="2"/>
  <c r="AL11" i="2"/>
  <c r="AJ15" i="2"/>
  <c r="AK12" i="2"/>
  <c r="AO15" i="8"/>
  <c r="AN36" i="8"/>
  <c r="AO43" i="8"/>
  <c r="AN39" i="8"/>
  <c r="AN9" i="8"/>
  <c r="AO34" i="8"/>
  <c r="AM45" i="8"/>
  <c r="AM13" i="8"/>
  <c r="AL31" i="8"/>
  <c r="CL37" i="2"/>
  <c r="CM37" i="2"/>
  <c r="CM51" i="2"/>
  <c r="CO47" i="2"/>
  <c r="CO12" i="2"/>
  <c r="AR17" i="8"/>
  <c r="AS10" i="8"/>
  <c r="AR15" i="8"/>
  <c r="AR6" i="8"/>
  <c r="AS34" i="8"/>
  <c r="AS37" i="8"/>
  <c r="AS50" i="8"/>
  <c r="AR47" i="8"/>
  <c r="AS14" i="8"/>
  <c r="AS4" i="8"/>
  <c r="AR43" i="8"/>
  <c r="AR4" i="8"/>
  <c r="AS15" i="8"/>
  <c r="AR18" i="8"/>
  <c r="AS17" i="8"/>
  <c r="AR16" i="8"/>
  <c r="AR13" i="8"/>
  <c r="AS43" i="8"/>
  <c r="AR40" i="8"/>
  <c r="AR11" i="8"/>
  <c r="AS48" i="8"/>
  <c r="AS22" i="8"/>
  <c r="AR35" i="8"/>
  <c r="AR48" i="8"/>
  <c r="AS20" i="8"/>
  <c r="AS53" i="8"/>
  <c r="AS27" i="8"/>
  <c r="AS18" i="8"/>
  <c r="AR23" i="8"/>
  <c r="AR14" i="8"/>
  <c r="AR44" i="8"/>
  <c r="AR45" i="8"/>
  <c r="AR29" i="8"/>
  <c r="AS11" i="8"/>
  <c r="AS31" i="8"/>
  <c r="AS29" i="8"/>
  <c r="AR24" i="8"/>
  <c r="AS23" i="8"/>
  <c r="AS7" i="8"/>
  <c r="B70" i="3"/>
  <c r="H70" i="3" s="1"/>
  <c r="J78" i="3" s="1"/>
  <c r="BQ17" i="8" s="1"/>
  <c r="AR37" i="8"/>
  <c r="AR26" i="8"/>
  <c r="AS26" i="8"/>
  <c r="AR22" i="8"/>
  <c r="AS8" i="8"/>
  <c r="AR20" i="8"/>
  <c r="AR33" i="8"/>
  <c r="AS16" i="8"/>
  <c r="AR49" i="8"/>
  <c r="AR27" i="8"/>
  <c r="AS12" i="8"/>
  <c r="AS32" i="8"/>
  <c r="H14" i="8"/>
  <c r="I14" i="8" s="1"/>
  <c r="B24" i="25" s="1"/>
  <c r="AJ4" i="2"/>
  <c r="AM51" i="2"/>
  <c r="AM53" i="2"/>
  <c r="AK17" i="2"/>
  <c r="AL39" i="2"/>
  <c r="AJ24" i="2"/>
  <c r="AJ36" i="2"/>
  <c r="AK25" i="2"/>
  <c r="AJ38" i="2"/>
  <c r="AM32" i="2"/>
  <c r="AK34" i="2"/>
  <c r="AM40" i="2"/>
  <c r="AK19" i="2"/>
  <c r="AM37" i="2"/>
  <c r="AM44" i="2"/>
  <c r="AM20" i="2"/>
  <c r="AL38" i="2"/>
  <c r="AJ33" i="2"/>
  <c r="AL14" i="2"/>
  <c r="AL27" i="2"/>
  <c r="AJ10" i="2"/>
  <c r="AJ11" i="2"/>
  <c r="AN54" i="8"/>
  <c r="AN23" i="8"/>
  <c r="AO45" i="8"/>
  <c r="AO9" i="8"/>
  <c r="AO29" i="8"/>
  <c r="AN20" i="8"/>
  <c r="AN22" i="8"/>
  <c r="AJ42" i="8"/>
  <c r="AK32" i="8"/>
  <c r="AK11" i="8"/>
  <c r="AK19" i="8"/>
  <c r="AJ13" i="8"/>
  <c r="AK17" i="8"/>
  <c r="AS54" i="8"/>
  <c r="AR50" i="8"/>
  <c r="AS39" i="8"/>
  <c r="AS49" i="8"/>
  <c r="AS33" i="8"/>
  <c r="AR8" i="8"/>
  <c r="AR10" i="8"/>
  <c r="AM37" i="8"/>
  <c r="AM5" i="8"/>
  <c r="AL23" i="8"/>
  <c r="CL49" i="2"/>
  <c r="CM31" i="2"/>
  <c r="CM53" i="2"/>
  <c r="CO21" i="2"/>
  <c r="CO6" i="2"/>
  <c r="AH8" i="8"/>
  <c r="AI7" i="8"/>
  <c r="CN18" i="2"/>
  <c r="AH40" i="8"/>
  <c r="B31" i="3"/>
  <c r="B39" i="3" s="1"/>
  <c r="CN25" i="2"/>
  <c r="AH13" i="8"/>
  <c r="AI34" i="8"/>
  <c r="CN11" i="2"/>
  <c r="AI32" i="8"/>
  <c r="AL49" i="2"/>
  <c r="AJ39" i="2"/>
  <c r="AL40" i="2"/>
  <c r="AK13" i="2"/>
  <c r="AL18" i="2"/>
  <c r="AK16" i="2"/>
  <c r="AM50" i="8"/>
  <c r="CO51" i="2"/>
  <c r="AK50" i="2"/>
  <c r="AL21" i="2"/>
  <c r="AL35" i="2"/>
  <c r="AK39" i="2"/>
  <c r="AM43" i="2"/>
  <c r="AL30" i="2"/>
  <c r="AJ6" i="2"/>
  <c r="AO20" i="8"/>
  <c r="AN16" i="8"/>
  <c r="AM35" i="8"/>
  <c r="CL32" i="2"/>
  <c r="AK4" i="2"/>
  <c r="AJ40" i="2"/>
  <c r="AM49" i="2"/>
  <c r="AJ47" i="2"/>
  <c r="AM4" i="2"/>
  <c r="AM27" i="2"/>
  <c r="AJ8" i="2"/>
  <c r="AK18" i="2"/>
  <c r="AL54" i="2"/>
  <c r="AK32" i="2"/>
  <c r="AM6" i="2"/>
  <c r="AL29" i="2"/>
  <c r="AM36" i="2"/>
  <c r="AM8" i="2"/>
  <c r="AK29" i="2"/>
  <c r="AK42" i="2"/>
  <c r="AM12" i="2"/>
  <c r="AJ28" i="2"/>
  <c r="AJ29" i="2"/>
  <c r="AL10" i="2"/>
  <c r="AJ22" i="2"/>
  <c r="AJ31" i="2"/>
  <c r="AJ7" i="2"/>
  <c r="AN48" i="8"/>
  <c r="AO17" i="8"/>
  <c r="AO37" i="8"/>
  <c r="AO44" i="8"/>
  <c r="AO11" i="8"/>
  <c r="AN12" i="8"/>
  <c r="AJ12" i="8"/>
  <c r="AJ20" i="8"/>
  <c r="AK48" i="8"/>
  <c r="AK6" i="8"/>
  <c r="AJ5" i="8"/>
  <c r="AR46" i="8"/>
  <c r="AR39" i="8"/>
  <c r="AR12" i="8"/>
  <c r="AS38" i="8"/>
  <c r="AS24" i="8"/>
  <c r="AS28" i="8"/>
  <c r="AM34" i="8"/>
  <c r="AL52" i="8"/>
  <c r="AL20" i="8"/>
  <c r="B29" i="3"/>
  <c r="CL30" i="2"/>
  <c r="CM20" i="2"/>
  <c r="CM39" i="2"/>
  <c r="CO39" i="2"/>
  <c r="CN42" i="2"/>
  <c r="AF5" i="8"/>
  <c r="AG33" i="8"/>
  <c r="AG31" i="8"/>
  <c r="AG32" i="8"/>
  <c r="AF38" i="8"/>
  <c r="AG11" i="8"/>
  <c r="AG12" i="8"/>
  <c r="AG7" i="8"/>
  <c r="AF36" i="8"/>
  <c r="AF49" i="8"/>
  <c r="AF41" i="8"/>
  <c r="AF54" i="8"/>
  <c r="AF15" i="8"/>
  <c r="AF6" i="8"/>
  <c r="AG34" i="8"/>
  <c r="AF32" i="8"/>
  <c r="AF9" i="8"/>
  <c r="AG40" i="8"/>
  <c r="AF16" i="8"/>
  <c r="AF23" i="8"/>
  <c r="AG10" i="8"/>
  <c r="AG45" i="8"/>
  <c r="AF50" i="8"/>
  <c r="AG42" i="8"/>
  <c r="AF4" i="8"/>
  <c r="AG17" i="8"/>
  <c r="AF13" i="8"/>
  <c r="AG5" i="8"/>
  <c r="AF11" i="8"/>
  <c r="AF10" i="8"/>
  <c r="AF47" i="8"/>
  <c r="AG29" i="8"/>
  <c r="AF27" i="8"/>
  <c r="AG23" i="8"/>
  <c r="AG49" i="8"/>
  <c r="AF51" i="8"/>
  <c r="AG43" i="8"/>
  <c r="AG8" i="8"/>
  <c r="AG28" i="8"/>
  <c r="AF21" i="8"/>
  <c r="AG13" i="8"/>
  <c r="AF19" i="8"/>
  <c r="AF18" i="8"/>
  <c r="AG18" i="8"/>
  <c r="AG39" i="8"/>
  <c r="AF43" i="8"/>
  <c r="AF8" i="8"/>
  <c r="AF24" i="8"/>
  <c r="AG54" i="8"/>
  <c r="AG53" i="8"/>
  <c r="AF34" i="8"/>
  <c r="AF40" i="8"/>
  <c r="AJ50" i="2"/>
  <c r="AK27" i="2"/>
  <c r="AJ42" i="2"/>
  <c r="AJ14" i="2"/>
  <c r="AM18" i="8"/>
  <c r="AO24" i="8"/>
  <c r="AO21" i="8"/>
  <c r="AN29" i="8"/>
  <c r="AN28" i="8"/>
  <c r="AN33" i="8"/>
  <c r="AO16" i="8"/>
  <c r="AO23" i="8"/>
  <c r="AO19" i="8"/>
  <c r="AO49" i="8"/>
  <c r="AN4" i="8"/>
  <c r="AO30" i="8"/>
  <c r="AN43" i="8"/>
  <c r="AN31" i="8"/>
  <c r="AO22" i="8"/>
  <c r="AN30" i="8"/>
  <c r="AN37" i="8"/>
  <c r="AN34" i="8"/>
  <c r="AN27" i="8"/>
  <c r="AO25" i="8"/>
  <c r="AN24" i="8"/>
  <c r="AO50" i="8"/>
  <c r="AN42" i="8"/>
  <c r="AO46" i="8"/>
  <c r="AN51" i="8"/>
  <c r="B69" i="3"/>
  <c r="H69" i="3" s="1"/>
  <c r="G77" i="3" s="1"/>
  <c r="AN5" i="8"/>
  <c r="AO33" i="8"/>
  <c r="AO31" i="8"/>
  <c r="AO32" i="8"/>
  <c r="AN38" i="8"/>
  <c r="AN35" i="8"/>
  <c r="AO28" i="8"/>
  <c r="AO26" i="8"/>
  <c r="AO8" i="8"/>
  <c r="AO12" i="8"/>
  <c r="AO48" i="8"/>
  <c r="AO53" i="8"/>
  <c r="AN7" i="8"/>
  <c r="AN13" i="8"/>
  <c r="AO5" i="8"/>
  <c r="AN11" i="8"/>
  <c r="AN10" i="8"/>
  <c r="AN47" i="8"/>
  <c r="AO41" i="8"/>
  <c r="AO39" i="8"/>
  <c r="AN46" i="8"/>
  <c r="AO36" i="8"/>
  <c r="AO38" i="8"/>
  <c r="AN15" i="8"/>
  <c r="AN26" i="8"/>
  <c r="AN49" i="8"/>
  <c r="AL4" i="2"/>
  <c r="AM50" i="2"/>
  <c r="AK30" i="2"/>
  <c r="AM22" i="2"/>
  <c r="AK9" i="2"/>
  <c r="AM16" i="2"/>
  <c r="AK15" i="2"/>
  <c r="AJ13" i="2"/>
  <c r="AL8" i="2"/>
  <c r="AN40" i="8"/>
  <c r="AN19" i="8"/>
  <c r="AL53" i="8"/>
  <c r="CO46" i="2"/>
  <c r="B68" i="3"/>
  <c r="H68" i="3" s="1"/>
  <c r="J76" i="3" s="1"/>
  <c r="BM16" i="8" s="1"/>
  <c r="AK27" i="8"/>
  <c r="AK18" i="8"/>
  <c r="AJ23" i="8"/>
  <c r="AJ14" i="8"/>
  <c r="AJ44" i="8"/>
  <c r="AK22" i="8"/>
  <c r="AK20" i="8"/>
  <c r="AK14" i="8"/>
  <c r="AK44" i="8"/>
  <c r="AK7" i="8"/>
  <c r="AJ48" i="8"/>
  <c r="AJ43" i="8"/>
  <c r="AK23" i="8"/>
  <c r="B57" i="8"/>
  <c r="B86" i="25" s="1"/>
  <c r="AJ28" i="8"/>
  <c r="AJ25" i="8"/>
  <c r="AK25" i="8"/>
  <c r="AJ21" i="8"/>
  <c r="AJ19" i="8"/>
  <c r="AJ24" i="8"/>
  <c r="AK21" i="8"/>
  <c r="AK16" i="8"/>
  <c r="AK47" i="8"/>
  <c r="AK13" i="8"/>
  <c r="AJ50" i="8"/>
  <c r="AJ47" i="8"/>
  <c r="AK30" i="8"/>
  <c r="AJ37" i="8"/>
  <c r="AJ26" i="8"/>
  <c r="AK26" i="8"/>
  <c r="AJ22" i="8"/>
  <c r="AJ45" i="8"/>
  <c r="AK36" i="8"/>
  <c r="AK38" i="8"/>
  <c r="AK29" i="8"/>
  <c r="AJ40" i="8"/>
  <c r="AJ29" i="8"/>
  <c r="AJ51" i="8"/>
  <c r="AK51" i="8"/>
  <c r="AJ9" i="8"/>
  <c r="AK40" i="8"/>
  <c r="AJ7" i="8"/>
  <c r="AJ36" i="8"/>
  <c r="AJ31" i="8"/>
  <c r="AJ49" i="8"/>
  <c r="AK49" i="8"/>
  <c r="AK42" i="8"/>
  <c r="AJ33" i="8"/>
  <c r="AK53" i="8"/>
  <c r="AJ27" i="8"/>
  <c r="AK4" i="8"/>
  <c r="AK54" i="8"/>
  <c r="AM23" i="2"/>
  <c r="AM7" i="2"/>
  <c r="AL42" i="2"/>
  <c r="AL50" i="2"/>
  <c r="AK14" i="2"/>
  <c r="AL5" i="2"/>
  <c r="AM15" i="2"/>
  <c r="AL53" i="2"/>
  <c r="AK22" i="2"/>
  <c r="AK54" i="2"/>
  <c r="AJ16" i="2"/>
  <c r="AM34" i="2"/>
  <c r="AK48" i="2"/>
  <c r="AM26" i="2"/>
  <c r="AK41" i="2"/>
  <c r="AK7" i="2"/>
  <c r="AL25" i="2"/>
  <c r="AL26" i="2"/>
  <c r="AL6" i="2"/>
  <c r="AL19" i="2"/>
  <c r="AJ27" i="2"/>
  <c r="AK28" i="2"/>
  <c r="AO52" i="8"/>
  <c r="AO4" i="8"/>
  <c r="AO18" i="8"/>
  <c r="AO35" i="8"/>
  <c r="AO40" i="8"/>
  <c r="AN32" i="8"/>
  <c r="AN6" i="8"/>
  <c r="AJ54" i="8"/>
  <c r="AJ52" i="8"/>
  <c r="AJ41" i="8"/>
  <c r="AK46" i="8"/>
  <c r="AK35" i="8"/>
  <c r="AJ38" i="8"/>
  <c r="AS30" i="8"/>
  <c r="AR19" i="8"/>
  <c r="AS13" i="8"/>
  <c r="AS46" i="8"/>
  <c r="AR21" i="8"/>
  <c r="AR25" i="8"/>
  <c r="AM29" i="8"/>
  <c r="AL47" i="8"/>
  <c r="AL15" i="8"/>
  <c r="CO7" i="2"/>
  <c r="CO33" i="2"/>
  <c r="B66" i="3"/>
  <c r="B55" i="8"/>
  <c r="B84" i="25" s="1"/>
  <c r="AM39" i="2"/>
  <c r="AK38" i="2"/>
  <c r="AK46" i="2"/>
  <c r="AK31" i="2"/>
  <c r="AL31" i="2"/>
  <c r="CL45" i="2"/>
  <c r="CL50" i="2"/>
  <c r="CL14" i="2"/>
  <c r="CL11" i="2"/>
  <c r="CL52" i="2"/>
  <c r="AJ53" i="2"/>
  <c r="AM14" i="2"/>
  <c r="AM31" i="2"/>
  <c r="AL33" i="2"/>
  <c r="AK33" i="2"/>
  <c r="AJ37" i="2"/>
  <c r="AJ26" i="2"/>
  <c r="AN25" i="8"/>
  <c r="AO7" i="8"/>
  <c r="AN21" i="8"/>
  <c r="AL21" i="8"/>
  <c r="B56" i="2"/>
  <c r="B87" i="22" s="1"/>
  <c r="CM8" i="2"/>
  <c r="CM18" i="2"/>
  <c r="CM40" i="2"/>
  <c r="CM15" i="2"/>
  <c r="CM36" i="2"/>
  <c r="CM32" i="2"/>
  <c r="CM17" i="2"/>
  <c r="CM47" i="2"/>
  <c r="CM14" i="2"/>
  <c r="CM42" i="2"/>
  <c r="CM21" i="2"/>
  <c r="CM43" i="2"/>
  <c r="AK26" i="2"/>
  <c r="AL48" i="2"/>
  <c r="AM46" i="2"/>
  <c r="AK49" i="2"/>
  <c r="AM11" i="2"/>
  <c r="AL52" i="2"/>
  <c r="AK52" i="2"/>
  <c r="AJ52" i="2"/>
  <c r="AM19" i="2"/>
  <c r="AK53" i="2"/>
  <c r="AM48" i="2"/>
  <c r="AM33" i="2"/>
  <c r="AK47" i="2"/>
  <c r="AK21" i="2"/>
  <c r="AM38" i="2"/>
  <c r="AJ49" i="2"/>
  <c r="AJ20" i="2"/>
  <c r="AL22" i="2"/>
  <c r="AJ5" i="2"/>
  <c r="AJ18" i="2"/>
  <c r="AL24" i="2"/>
  <c r="AK20" i="2"/>
  <c r="AN41" i="8"/>
  <c r="AO54" i="8"/>
  <c r="AN8" i="8"/>
  <c r="AO10" i="8"/>
  <c r="AO27" i="8"/>
  <c r="AO14" i="8"/>
  <c r="AJ30" i="8"/>
  <c r="AK31" i="8"/>
  <c r="AK39" i="8"/>
  <c r="AK15" i="8"/>
  <c r="AK43" i="8"/>
  <c r="AJ16" i="8"/>
  <c r="AJ18" i="8"/>
  <c r="AR54" i="8"/>
  <c r="AR51" i="8"/>
  <c r="AS42" i="8"/>
  <c r="AS36" i="8"/>
  <c r="AR5" i="8"/>
  <c r="AS9" i="8"/>
  <c r="AM53" i="8"/>
  <c r="AM21" i="8"/>
  <c r="AL39" i="8"/>
  <c r="AL7" i="8"/>
  <c r="B59" i="8"/>
  <c r="B88" i="25" s="1"/>
  <c r="CL7" i="2"/>
  <c r="CM54" i="2"/>
  <c r="CO29" i="2"/>
  <c r="CO25" i="2"/>
  <c r="CQ4" i="2"/>
  <c r="CQ20" i="2"/>
  <c r="CQ22" i="2"/>
  <c r="CQ46" i="2"/>
  <c r="CQ34" i="2"/>
  <c r="CQ6" i="2"/>
  <c r="CQ47" i="2"/>
  <c r="CQ5" i="2"/>
  <c r="CQ23" i="2"/>
  <c r="CQ45" i="2"/>
  <c r="CQ8" i="2"/>
  <c r="CQ15" i="2"/>
  <c r="CQ21" i="2"/>
  <c r="CQ50" i="2"/>
  <c r="CQ9" i="2"/>
  <c r="CQ26" i="2"/>
  <c r="CQ54" i="2"/>
  <c r="CQ51" i="2"/>
  <c r="CQ48" i="2"/>
  <c r="CQ24" i="2"/>
  <c r="CQ18" i="2"/>
  <c r="CQ7" i="2"/>
  <c r="CQ37" i="2"/>
  <c r="CQ38" i="2"/>
  <c r="CQ25" i="2"/>
  <c r="CQ36" i="2"/>
  <c r="CQ53" i="2"/>
  <c r="AT23" i="8"/>
  <c r="CQ49" i="2"/>
  <c r="CQ29" i="2"/>
  <c r="CQ27" i="2"/>
  <c r="AU10" i="8"/>
  <c r="AT47" i="8"/>
  <c r="AU31" i="8"/>
  <c r="AT17" i="8"/>
  <c r="AT49" i="8"/>
  <c r="AT46" i="8"/>
  <c r="AU6" i="8"/>
  <c r="AU38" i="8"/>
  <c r="AT42" i="8"/>
  <c r="AU13" i="8"/>
  <c r="AU27" i="8"/>
  <c r="AT24" i="8"/>
  <c r="AU16" i="8"/>
  <c r="AU5" i="2"/>
  <c r="AU21" i="2"/>
  <c r="AT12" i="2"/>
  <c r="AT28" i="2"/>
  <c r="AT15" i="2"/>
  <c r="AT31" i="2"/>
  <c r="AR17" i="2"/>
  <c r="AR33" i="2"/>
  <c r="AT29" i="2"/>
  <c r="AS11" i="2"/>
  <c r="AS41" i="2"/>
  <c r="AU22" i="2"/>
  <c r="AS40" i="2"/>
  <c r="AS23" i="2"/>
  <c r="AS46" i="2"/>
  <c r="AS53" i="2"/>
  <c r="AU23" i="2"/>
  <c r="AT54" i="2"/>
  <c r="AS22" i="2"/>
  <c r="AS48" i="2"/>
  <c r="AT25" i="2"/>
  <c r="AS18" i="2"/>
  <c r="AS5" i="2"/>
  <c r="AR36" i="2"/>
  <c r="AU53" i="2"/>
  <c r="AR54" i="2"/>
  <c r="CQ52" i="2"/>
  <c r="CQ35" i="2"/>
  <c r="CQ30" i="2"/>
  <c r="AT15" i="8"/>
  <c r="AU50" i="8"/>
  <c r="AT36" i="8"/>
  <c r="AU20" i="8"/>
  <c r="AU52" i="8"/>
  <c r="AT54" i="8"/>
  <c r="AT11" i="8"/>
  <c r="AT43" i="8"/>
  <c r="AU51" i="8"/>
  <c r="AT26" i="8"/>
  <c r="AT40" i="8"/>
  <c r="AU32" i="8"/>
  <c r="AT29" i="8"/>
  <c r="AS8" i="2"/>
  <c r="AS24" i="2"/>
  <c r="AR15" i="2"/>
  <c r="AR31" i="2"/>
  <c r="AR18" i="2"/>
  <c r="AR34" i="2"/>
  <c r="AT18" i="2"/>
  <c r="AT34" i="2"/>
  <c r="AR37" i="2"/>
  <c r="AU16" i="2"/>
  <c r="CQ40" i="2"/>
  <c r="CQ28" i="2"/>
  <c r="CQ41" i="2"/>
  <c r="AU18" i="8"/>
  <c r="AU7" i="8"/>
  <c r="AU39" i="8"/>
  <c r="AT25" i="8"/>
  <c r="AT6" i="8"/>
  <c r="B34" i="3"/>
  <c r="B42" i="3" s="1"/>
  <c r="AU14" i="8"/>
  <c r="AU46" i="8"/>
  <c r="AT13" i="8"/>
  <c r="AU35" i="8"/>
  <c r="AU48" i="8"/>
  <c r="AT45" i="8"/>
  <c r="AU37" i="8"/>
  <c r="AU9" i="2"/>
  <c r="AU25" i="2"/>
  <c r="AT16" i="2"/>
  <c r="AT32" i="2"/>
  <c r="AT19" i="2"/>
  <c r="AR5" i="2"/>
  <c r="AR21" i="2"/>
  <c r="AT5" i="2"/>
  <c r="AT38" i="2"/>
  <c r="AS19" i="2"/>
  <c r="AU43" i="2"/>
  <c r="AU30" i="2"/>
  <c r="AU42" i="2"/>
  <c r="AS31" i="2"/>
  <c r="AU48" i="2"/>
  <c r="AS13" i="2"/>
  <c r="AT39" i="2"/>
  <c r="AU39" i="2"/>
  <c r="AT33" i="2"/>
  <c r="AR50" i="2"/>
  <c r="AU32" i="2"/>
  <c r="AT35" i="2"/>
  <c r="AS21" i="2"/>
  <c r="AR53" i="2"/>
  <c r="AU11" i="2"/>
  <c r="CQ12" i="2"/>
  <c r="CQ10" i="2"/>
  <c r="CQ39" i="2"/>
  <c r="B60" i="2"/>
  <c r="B91" i="22" s="1"/>
  <c r="AT39" i="8"/>
  <c r="AU23" i="8"/>
  <c r="AT9" i="8"/>
  <c r="AT41" i="8"/>
  <c r="AU33" i="8"/>
  <c r="AU41" i="8"/>
  <c r="AU30" i="8"/>
  <c r="AT21" i="8"/>
  <c r="AU11" i="8"/>
  <c r="AU5" i="8"/>
  <c r="AU40" i="8"/>
  <c r="AU4" i="8"/>
  <c r="AU17" i="2"/>
  <c r="AT8" i="2"/>
  <c r="AT24" i="2"/>
  <c r="AT11" i="2"/>
  <c r="AT27" i="2"/>
  <c r="AR13" i="2"/>
  <c r="AR29" i="2"/>
  <c r="AT21" i="2"/>
  <c r="AT44" i="2"/>
  <c r="AS37" i="2"/>
  <c r="AU14" i="2"/>
  <c r="AS36" i="2"/>
  <c r="AS15" i="2"/>
  <c r="AU40" i="2"/>
  <c r="AR39" i="2"/>
  <c r="AU7" i="2"/>
  <c r="AR52" i="2"/>
  <c r="AS6" i="2"/>
  <c r="AT42" i="2"/>
  <c r="AT9" i="2"/>
  <c r="AT47" i="2"/>
  <c r="AT49" i="2"/>
  <c r="AU45" i="2"/>
  <c r="AS14" i="2"/>
  <c r="AU50" i="2"/>
  <c r="CQ19" i="2"/>
  <c r="CQ44" i="2"/>
  <c r="AT7" i="8"/>
  <c r="AT28" i="8"/>
  <c r="AU44" i="8"/>
  <c r="AU49" i="8"/>
  <c r="AU29" i="8"/>
  <c r="AT18" i="8"/>
  <c r="AT8" i="8"/>
  <c r="AR11" i="2"/>
  <c r="AR14" i="2"/>
  <c r="AT14" i="2"/>
  <c r="AR24" i="2"/>
  <c r="AU38" i="2"/>
  <c r="AU33" i="2"/>
  <c r="AU28" i="2"/>
  <c r="AT36" i="2"/>
  <c r="AR44" i="2"/>
  <c r="AU19" i="2"/>
  <c r="AT52" i="2"/>
  <c r="AU31" i="2"/>
  <c r="AS43" i="2"/>
  <c r="AU49" i="2"/>
  <c r="AS12" i="2"/>
  <c r="AR19" i="2"/>
  <c r="AT22" i="2"/>
  <c r="AR41" i="2"/>
  <c r="AU34" i="2"/>
  <c r="AS35" i="2"/>
  <c r="AT46" i="2"/>
  <c r="AU4" i="2"/>
  <c r="AU27" i="2"/>
  <c r="AS50" i="2"/>
  <c r="AU34" i="8"/>
  <c r="AU43" i="8"/>
  <c r="AT26" i="2"/>
  <c r="AU41" i="2"/>
  <c r="AT37" i="2"/>
  <c r="CQ16" i="2"/>
  <c r="AU26" i="8"/>
  <c r="AT44" i="8"/>
  <c r="AU17" i="8"/>
  <c r="AT19" i="8"/>
  <c r="AU21" i="8"/>
  <c r="AT10" i="8"/>
  <c r="AT50" i="8"/>
  <c r="AR22" i="2"/>
  <c r="AS42" i="2"/>
  <c r="AR46" i="2"/>
  <c r="AR32" i="2"/>
  <c r="AR38" i="2"/>
  <c r="AT52" i="8"/>
  <c r="AT32" i="8"/>
  <c r="AR26" i="2"/>
  <c r="AS39" i="2"/>
  <c r="CQ32" i="2"/>
  <c r="AT31" i="8"/>
  <c r="AU47" i="8"/>
  <c r="AU25" i="8"/>
  <c r="AU22" i="8"/>
  <c r="AT34" i="8"/>
  <c r="AU19" i="8"/>
  <c r="AT4" i="8"/>
  <c r="AU13" i="2"/>
  <c r="AT20" i="2"/>
  <c r="AT23" i="2"/>
  <c r="AR25" i="2"/>
  <c r="AR42" i="2"/>
  <c r="AU44" i="2"/>
  <c r="AU37" i="2"/>
  <c r="AU36" i="2"/>
  <c r="AS54" i="2"/>
  <c r="AR51" i="2"/>
  <c r="AS34" i="2"/>
  <c r="AR12" i="2"/>
  <c r="AR43" i="2"/>
  <c r="AU52" i="2"/>
  <c r="AT48" i="2"/>
  <c r="CQ43" i="2"/>
  <c r="AT30" i="8"/>
  <c r="AR23" i="2"/>
  <c r="AU6" i="2"/>
  <c r="AT53" i="2"/>
  <c r="CQ17" i="2"/>
  <c r="CQ33" i="2"/>
  <c r="AU15" i="8"/>
  <c r="AT33" i="8"/>
  <c r="AT14" i="8"/>
  <c r="AU54" i="8"/>
  <c r="AU53" i="8"/>
  <c r="AU24" i="8"/>
  <c r="AU29" i="2"/>
  <c r="AT7" i="2"/>
  <c r="AR9" i="2"/>
  <c r="AT13" i="2"/>
  <c r="AS27" i="2"/>
  <c r="AS25" i="2"/>
  <c r="AU12" i="2"/>
  <c r="AT17" i="2"/>
  <c r="AS10" i="2"/>
  <c r="AR48" i="2"/>
  <c r="AR49" i="2"/>
  <c r="AR45" i="2"/>
  <c r="AU35" i="2"/>
  <c r="AS52" i="2"/>
  <c r="AS4" i="2"/>
  <c r="CQ14" i="2"/>
  <c r="CQ42" i="2"/>
  <c r="AT20" i="8"/>
  <c r="AU36" i="8"/>
  <c r="AT22" i="8"/>
  <c r="AU8" i="8"/>
  <c r="AT37" i="8"/>
  <c r="AU45" i="8"/>
  <c r="AR7" i="2"/>
  <c r="AR10" i="2"/>
  <c r="AT10" i="2"/>
  <c r="AR16" i="2"/>
  <c r="AS33" i="2"/>
  <c r="AS32" i="2"/>
  <c r="AU20" i="2"/>
  <c r="AR20" i="2"/>
  <c r="AS26" i="2"/>
  <c r="AS51" i="2"/>
  <c r="AT51" i="2"/>
  <c r="AU15" i="2"/>
  <c r="AS38" i="2"/>
  <c r="AU54" i="2"/>
  <c r="AT27" i="8"/>
  <c r="AS16" i="2"/>
  <c r="AT43" i="2"/>
  <c r="AU26" i="2"/>
  <c r="AT50" i="2"/>
  <c r="AU10" i="2"/>
  <c r="AS9" i="2"/>
  <c r="AR27" i="2"/>
  <c r="AT16" i="8"/>
  <c r="AU28" i="8"/>
  <c r="CQ13" i="2"/>
  <c r="AR4" i="2"/>
  <c r="AT40" i="2"/>
  <c r="AS29" i="2"/>
  <c r="AU8" i="2"/>
  <c r="AS20" i="2"/>
  <c r="AT48" i="8"/>
  <c r="AT12" i="8"/>
  <c r="AU51" i="2"/>
  <c r="AR35" i="2"/>
  <c r="AU47" i="2"/>
  <c r="AR8" i="2"/>
  <c r="AT5" i="8"/>
  <c r="AU42" i="8"/>
  <c r="AS30" i="2"/>
  <c r="AR28" i="2"/>
  <c r="AS45" i="2"/>
  <c r="AT30" i="2"/>
  <c r="AT51" i="8"/>
  <c r="CN12" i="2"/>
  <c r="CN44" i="2"/>
  <c r="CN45" i="2"/>
  <c r="CN13" i="2"/>
  <c r="CN38" i="2"/>
  <c r="CN49" i="2"/>
  <c r="AI25" i="8"/>
  <c r="AI6" i="8"/>
  <c r="AI38" i="8"/>
  <c r="AH16" i="8"/>
  <c r="AH48" i="8"/>
  <c r="AI40" i="8"/>
  <c r="AI29" i="8"/>
  <c r="AH45" i="8"/>
  <c r="AH20" i="8"/>
  <c r="AI10" i="8"/>
  <c r="AI44" i="8"/>
  <c r="AH12" i="8"/>
  <c r="CN6" i="2"/>
  <c r="CN16" i="2"/>
  <c r="CN48" i="2"/>
  <c r="CN50" i="2"/>
  <c r="CN27" i="2"/>
  <c r="CN41" i="2"/>
  <c r="CN4" i="2"/>
  <c r="AH30" i="8"/>
  <c r="AH11" i="8"/>
  <c r="AH43" i="8"/>
  <c r="AI19" i="8"/>
  <c r="AI51" i="8"/>
  <c r="AI48" i="8"/>
  <c r="AH34" i="8"/>
  <c r="AH53" i="8"/>
  <c r="AH41" i="8"/>
  <c r="AH23" i="8"/>
  <c r="AH7" i="8"/>
  <c r="CN10" i="2"/>
  <c r="CN20" i="2"/>
  <c r="CN52" i="2"/>
  <c r="CN15" i="2"/>
  <c r="CN30" i="2"/>
  <c r="CN23" i="2"/>
  <c r="CN31" i="2"/>
  <c r="AI4" i="8"/>
  <c r="AI33" i="8"/>
  <c r="AI14" i="8"/>
  <c r="AI46" i="8"/>
  <c r="AH24" i="8"/>
  <c r="AI8" i="8"/>
  <c r="AI5" i="8"/>
  <c r="AI37" i="8"/>
  <c r="AH42" i="8"/>
  <c r="AH9" i="8"/>
  <c r="AI31" i="8"/>
  <c r="AI15" i="8"/>
  <c r="AH33" i="8"/>
  <c r="CN5" i="2"/>
  <c r="CN32" i="2"/>
  <c r="CN51" i="2"/>
  <c r="CN39" i="2"/>
  <c r="CN53" i="2"/>
  <c r="CN7" i="2"/>
  <c r="B57" i="2"/>
  <c r="B88" i="22" s="1"/>
  <c r="AH14" i="8"/>
  <c r="AH46" i="8"/>
  <c r="AH27" i="8"/>
  <c r="AH4" i="8"/>
  <c r="AI35" i="8"/>
  <c r="AH21" i="8"/>
  <c r="AH18" i="8"/>
  <c r="AH5" i="8"/>
  <c r="AI26" i="8"/>
  <c r="AI39" i="8"/>
  <c r="AH15" i="8"/>
  <c r="AH49" i="8"/>
  <c r="AI12" i="8"/>
  <c r="CN24" i="2"/>
  <c r="CN17" i="2"/>
  <c r="CN26" i="2"/>
  <c r="AH54" i="8"/>
  <c r="AI11" i="8"/>
  <c r="AH29" i="8"/>
  <c r="AH37" i="8"/>
  <c r="AI50" i="8"/>
  <c r="AI28" i="8"/>
  <c r="AG10" i="2"/>
  <c r="AG26" i="2"/>
  <c r="AF13" i="2"/>
  <c r="AF29" i="2"/>
  <c r="AF16" i="2"/>
  <c r="AF32" i="2"/>
  <c r="AF19" i="2"/>
  <c r="AF35" i="2"/>
  <c r="AF34" i="2"/>
  <c r="AG5" i="2"/>
  <c r="AG34" i="2"/>
  <c r="AI8" i="2"/>
  <c r="AI35" i="2"/>
  <c r="AG9" i="2"/>
  <c r="AG41" i="2"/>
  <c r="AI32" i="2"/>
  <c r="AF48" i="2"/>
  <c r="AH50" i="2"/>
  <c r="AG8" i="2"/>
  <c r="AF53" i="2"/>
  <c r="AH44" i="2"/>
  <c r="AF52" i="2"/>
  <c r="AI42" i="2"/>
  <c r="AF50" i="2"/>
  <c r="AI33" i="2"/>
  <c r="CN28" i="2"/>
  <c r="CN19" i="2"/>
  <c r="CN29" i="2"/>
  <c r="AH6" i="8"/>
  <c r="AH19" i="8"/>
  <c r="AI27" i="8"/>
  <c r="AH10" i="8"/>
  <c r="AH50" i="8"/>
  <c r="AH44" i="8"/>
  <c r="AI20" i="8"/>
  <c r="AI11" i="2"/>
  <c r="AI27" i="2"/>
  <c r="AH14" i="2"/>
  <c r="AH30" i="2"/>
  <c r="AH17" i="2"/>
  <c r="AH33" i="2"/>
  <c r="AH20" i="2"/>
  <c r="AH7" i="2"/>
  <c r="AH36" i="2"/>
  <c r="AI10" i="2"/>
  <c r="AG35" i="2"/>
  <c r="AG11" i="2"/>
  <c r="AG38" i="2"/>
  <c r="AI14" i="2"/>
  <c r="AG42" i="2"/>
  <c r="AH38" i="2"/>
  <c r="AF49" i="2"/>
  <c r="AI12" i="2"/>
  <c r="AI21" i="2"/>
  <c r="AF54" i="2"/>
  <c r="AI17" i="2"/>
  <c r="AH53" i="2"/>
  <c r="AG16" i="2"/>
  <c r="AG51" i="2"/>
  <c r="AH45" i="2"/>
  <c r="CN36" i="2"/>
  <c r="CN47" i="2"/>
  <c r="CN43" i="2"/>
  <c r="AI9" i="8"/>
  <c r="AI22" i="8"/>
  <c r="AH32" i="8"/>
  <c r="AI13" i="8"/>
  <c r="AH17" i="8"/>
  <c r="AI52" i="8"/>
  <c r="AI42" i="8"/>
  <c r="AG14" i="2"/>
  <c r="AG30" i="2"/>
  <c r="AF17" i="2"/>
  <c r="AF33" i="2"/>
  <c r="AF20" i="2"/>
  <c r="AF7" i="2"/>
  <c r="AF23" i="2"/>
  <c r="AF10" i="2"/>
  <c r="AF39" i="2"/>
  <c r="AG13" i="2"/>
  <c r="AI36" i="2"/>
  <c r="AI16" i="2"/>
  <c r="AI39" i="2"/>
  <c r="AG17" i="2"/>
  <c r="AI43" i="2"/>
  <c r="AF41" i="2"/>
  <c r="AI9" i="2"/>
  <c r="AG15" i="2"/>
  <c r="AG24" i="2"/>
  <c r="AH11" i="2"/>
  <c r="AG20" i="2"/>
  <c r="AH54" i="2"/>
  <c r="AG54" i="2"/>
  <c r="AI54" i="2"/>
  <c r="AG47" i="2"/>
  <c r="AF4" i="2"/>
  <c r="CN9" i="2"/>
  <c r="CN54" i="2"/>
  <c r="CN34" i="2"/>
  <c r="AI41" i="8"/>
  <c r="AI54" i="8"/>
  <c r="AI16" i="8"/>
  <c r="AI53" i="8"/>
  <c r="AH31" i="8"/>
  <c r="AI36" i="8"/>
  <c r="AH47" i="8"/>
  <c r="AG6" i="2"/>
  <c r="AG22" i="2"/>
  <c r="AF9" i="2"/>
  <c r="AF25" i="2"/>
  <c r="AF12" i="2"/>
  <c r="AF28" i="2"/>
  <c r="AF15" i="2"/>
  <c r="AF31" i="2"/>
  <c r="AF26" i="2"/>
  <c r="AH47" i="2"/>
  <c r="AG29" i="2"/>
  <c r="AG46" i="2"/>
  <c r="AG32" i="2"/>
  <c r="AI46" i="2"/>
  <c r="AG37" i="2"/>
  <c r="AH19" i="2"/>
  <c r="AI52" i="2"/>
  <c r="AF36" i="2"/>
  <c r="AI50" i="2"/>
  <c r="AG48" i="2"/>
  <c r="AF37" i="2"/>
  <c r="AF47" i="2"/>
  <c r="AI37" i="2"/>
  <c r="AF43" i="2"/>
  <c r="AI48" i="2"/>
  <c r="AH35" i="2"/>
  <c r="AI53" i="2"/>
  <c r="AG53" i="2"/>
  <c r="AF40" i="2"/>
  <c r="AF44" i="2"/>
  <c r="AI25" i="2"/>
  <c r="AG49" i="2"/>
  <c r="AG44" i="2"/>
  <c r="AI40" i="2"/>
  <c r="AF45" i="2"/>
  <c r="AF27" i="2"/>
  <c r="AF24" i="2"/>
  <c r="AF21" i="2"/>
  <c r="AG18" i="2"/>
  <c r="AH25" i="8"/>
  <c r="AI47" i="8"/>
  <c r="AI43" i="8"/>
  <c r="AH22" i="8"/>
  <c r="CN33" i="2"/>
  <c r="CN14" i="2"/>
  <c r="AH36" i="8"/>
  <c r="AH26" i="8"/>
  <c r="AH35" i="8"/>
  <c r="CN37" i="2"/>
  <c r="CN22" i="2"/>
  <c r="CL4" i="2"/>
  <c r="CL13" i="2"/>
  <c r="CL27" i="2"/>
  <c r="CL33" i="2"/>
  <c r="CL53" i="2"/>
  <c r="CL16" i="2"/>
  <c r="CL40" i="2"/>
  <c r="B55" i="2"/>
  <c r="B86" i="22" s="1"/>
  <c r="CL17" i="2"/>
  <c r="CL31" i="2"/>
  <c r="CL36" i="2"/>
  <c r="CL18" i="2"/>
  <c r="CL20" i="2"/>
  <c r="CL10" i="2"/>
  <c r="CL8" i="2"/>
  <c r="CL35" i="2"/>
  <c r="CL44" i="2"/>
  <c r="CL29" i="2"/>
  <c r="CL46" i="2"/>
  <c r="CL22" i="2"/>
  <c r="CL15" i="2"/>
  <c r="CL47" i="2"/>
  <c r="CL21" i="2"/>
  <c r="CL6" i="2"/>
  <c r="CL12" i="2"/>
  <c r="CL54" i="2"/>
  <c r="CL39" i="2"/>
  <c r="CL38" i="2"/>
  <c r="CL25" i="2"/>
  <c r="CL43" i="2"/>
  <c r="CL41" i="2"/>
  <c r="CL28" i="2"/>
  <c r="CL5" i="2"/>
  <c r="CL51" i="2"/>
  <c r="CL26" i="2"/>
  <c r="CL42" i="2"/>
  <c r="CL19" i="2"/>
  <c r="CL24" i="2"/>
  <c r="CL34" i="2"/>
  <c r="AI23" i="8"/>
  <c r="AI21" i="8"/>
  <c r="AI30" i="8"/>
  <c r="CN46" i="2"/>
  <c r="CN40" i="2"/>
  <c r="Q4" i="2"/>
  <c r="AI49" i="2"/>
  <c r="AF51" i="2"/>
  <c r="AH49" i="2"/>
  <c r="AH41" i="2"/>
  <c r="AF22" i="2"/>
  <c r="AI6" i="2"/>
  <c r="AI47" i="2"/>
  <c r="AH48" i="2"/>
  <c r="AH32" i="2"/>
  <c r="AH29" i="2"/>
  <c r="AH26" i="2"/>
  <c r="AI23" i="2"/>
  <c r="AH52" i="8"/>
  <c r="AI24" i="8"/>
  <c r="AI49" i="8"/>
  <c r="CL9" i="2"/>
  <c r="CN35" i="2"/>
  <c r="CN8" i="2"/>
  <c r="CP10" i="2"/>
  <c r="CP33" i="2"/>
  <c r="CP46" i="2"/>
  <c r="CP14" i="2"/>
  <c r="CP24" i="2"/>
  <c r="CP18" i="2"/>
  <c r="AQ9" i="8"/>
  <c r="AQ17" i="8"/>
  <c r="AQ25" i="8"/>
  <c r="AQ33" i="8"/>
  <c r="AQ41" i="8"/>
  <c r="AQ49" i="8"/>
  <c r="AP28" i="8"/>
  <c r="AP41" i="8"/>
  <c r="AP54" i="8"/>
  <c r="AP27" i="8"/>
  <c r="AP5" i="8"/>
  <c r="AP10" i="8"/>
  <c r="AP50" i="8"/>
  <c r="CP5" i="2"/>
  <c r="CP37" i="2"/>
  <c r="CP34" i="2"/>
  <c r="CP23" i="2"/>
  <c r="CP27" i="2"/>
  <c r="CP32" i="2"/>
  <c r="AQ10" i="8"/>
  <c r="AQ18" i="8"/>
  <c r="AQ26" i="8"/>
  <c r="AQ34" i="8"/>
  <c r="AQ42" i="8"/>
  <c r="AQ50" i="8"/>
  <c r="AP36" i="8"/>
  <c r="AP49" i="8"/>
  <c r="AP11" i="8"/>
  <c r="AP8" i="8"/>
  <c r="AP26" i="8"/>
  <c r="AP31" i="8"/>
  <c r="AP42" i="8"/>
  <c r="CP9" i="2"/>
  <c r="CP41" i="2"/>
  <c r="CP36" i="2"/>
  <c r="CP8" i="2"/>
  <c r="CP30" i="2"/>
  <c r="CP35" i="2"/>
  <c r="AQ11" i="8"/>
  <c r="AQ19" i="8"/>
  <c r="AQ27" i="8"/>
  <c r="AQ35" i="8"/>
  <c r="AQ43" i="8"/>
  <c r="AQ51" i="8"/>
  <c r="AP44" i="8"/>
  <c r="AP6" i="8"/>
  <c r="AP35" i="8"/>
  <c r="AP16" i="8"/>
  <c r="AP47" i="8"/>
  <c r="AP53" i="8"/>
  <c r="CP15" i="2"/>
  <c r="CP21" i="2"/>
  <c r="CP53" i="2"/>
  <c r="CP31" i="2"/>
  <c r="CP54" i="2"/>
  <c r="CP47" i="2"/>
  <c r="CP52" i="2"/>
  <c r="AQ6" i="8"/>
  <c r="AQ14" i="8"/>
  <c r="AQ22" i="8"/>
  <c r="AQ30" i="8"/>
  <c r="AQ38" i="8"/>
  <c r="AQ46" i="8"/>
  <c r="AQ54" i="8"/>
  <c r="AP17" i="8"/>
  <c r="AP30" i="8"/>
  <c r="AP40" i="8"/>
  <c r="AP13" i="8"/>
  <c r="AP39" i="8"/>
  <c r="B33" i="3"/>
  <c r="B41" i="3" s="1"/>
  <c r="CM5" i="2"/>
  <c r="CM45" i="2"/>
  <c r="CM13" i="2"/>
  <c r="CM24" i="2"/>
  <c r="CM23" i="2"/>
  <c r="CM46" i="2"/>
  <c r="CM10" i="2"/>
  <c r="CM7" i="2"/>
  <c r="CM48" i="2"/>
  <c r="CM27" i="2"/>
  <c r="CM35" i="2"/>
  <c r="CM26" i="2"/>
  <c r="CM49" i="2"/>
  <c r="CM22" i="2"/>
  <c r="B30" i="3"/>
  <c r="CM11" i="2"/>
  <c r="CM30" i="2"/>
  <c r="CM33" i="2"/>
  <c r="CM44" i="2"/>
  <c r="CM29" i="2"/>
  <c r="CM52" i="2"/>
  <c r="CM25" i="2"/>
  <c r="CM19" i="2"/>
  <c r="CM41" i="2"/>
  <c r="CM38" i="2"/>
  <c r="CM6" i="2"/>
  <c r="CM16" i="2"/>
  <c r="CM34" i="2"/>
  <c r="CO10" i="2"/>
  <c r="CO11" i="2"/>
  <c r="CO49" i="2"/>
  <c r="CO45" i="2"/>
  <c r="CO53" i="2"/>
  <c r="CO14" i="2"/>
  <c r="AL9" i="8"/>
  <c r="AL17" i="8"/>
  <c r="AL25" i="8"/>
  <c r="AL33" i="8"/>
  <c r="AL41" i="8"/>
  <c r="AL49" i="8"/>
  <c r="AM7" i="8"/>
  <c r="AM15" i="8"/>
  <c r="AM23" i="8"/>
  <c r="AM31" i="8"/>
  <c r="AM39" i="8"/>
  <c r="AM47" i="8"/>
  <c r="AM4" i="8"/>
  <c r="CO28" i="2"/>
  <c r="CO13" i="2"/>
  <c r="CO5" i="2"/>
  <c r="CO30" i="2"/>
  <c r="CO9" i="2"/>
  <c r="CO20" i="2"/>
  <c r="AL10" i="8"/>
  <c r="AL18" i="8"/>
  <c r="AL26" i="8"/>
  <c r="AL34" i="8"/>
  <c r="AL42" i="8"/>
  <c r="AL50" i="8"/>
  <c r="AM8" i="8"/>
  <c r="AM16" i="8"/>
  <c r="AM24" i="8"/>
  <c r="AM32" i="8"/>
  <c r="AM40" i="8"/>
  <c r="AM48" i="8"/>
  <c r="AL4" i="8"/>
  <c r="CO31" i="2"/>
  <c r="CO27" i="2"/>
  <c r="CO15" i="2"/>
  <c r="CO40" i="2"/>
  <c r="CO18" i="2"/>
  <c r="CO23" i="2"/>
  <c r="AL11" i="8"/>
  <c r="AL19" i="8"/>
  <c r="AL27" i="8"/>
  <c r="AL35" i="8"/>
  <c r="AL43" i="8"/>
  <c r="AL51" i="8"/>
  <c r="AM9" i="8"/>
  <c r="AM17" i="8"/>
  <c r="AM25" i="8"/>
  <c r="AM33" i="8"/>
  <c r="AM41" i="8"/>
  <c r="AM49" i="8"/>
  <c r="B32" i="3"/>
  <c r="B40" i="3" s="1"/>
  <c r="CO8" i="2"/>
  <c r="CO48" i="2"/>
  <c r="CO24" i="2"/>
  <c r="CO36" i="2"/>
  <c r="CO44" i="2"/>
  <c r="CO38" i="2"/>
  <c r="CO52" i="2"/>
  <c r="AL6" i="8"/>
  <c r="AL14" i="8"/>
  <c r="AL22" i="8"/>
  <c r="AL30" i="8"/>
  <c r="AL38" i="8"/>
  <c r="AL46" i="8"/>
  <c r="AL54" i="8"/>
  <c r="AM12" i="8"/>
  <c r="AM20" i="8"/>
  <c r="AM28" i="8"/>
  <c r="AM36" i="8"/>
  <c r="AM44" i="8"/>
  <c r="AM52" i="8"/>
  <c r="CV7" i="8"/>
  <c r="M7" i="8"/>
  <c r="Q7" i="8"/>
  <c r="S7" i="8" s="1"/>
  <c r="CV18" i="8"/>
  <c r="M18" i="8"/>
  <c r="Q18" i="8"/>
  <c r="Y18" i="8" s="1"/>
  <c r="CV22" i="8"/>
  <c r="M22" i="8"/>
  <c r="BX22" i="8" s="1"/>
  <c r="CE22" i="8" s="1"/>
  <c r="Q22" i="8"/>
  <c r="S22" i="8" s="1"/>
  <c r="CV14" i="8"/>
  <c r="M14" i="8"/>
  <c r="Q14" i="8"/>
  <c r="AC14" i="8" s="1"/>
  <c r="CV24" i="8"/>
  <c r="Q24" i="8"/>
  <c r="M24" i="8"/>
  <c r="CV49" i="8"/>
  <c r="M49" i="8"/>
  <c r="Q49" i="8"/>
  <c r="AV49" i="8" s="1"/>
  <c r="CV13" i="8"/>
  <c r="M13" i="8"/>
  <c r="Q13" i="8"/>
  <c r="AB13" i="8" s="1"/>
  <c r="CV8" i="8"/>
  <c r="Q8" i="8"/>
  <c r="M8" i="8"/>
  <c r="BX8" i="8" s="1"/>
  <c r="CE8" i="8" s="1"/>
  <c r="CV11" i="8"/>
  <c r="M11" i="8"/>
  <c r="Q11" i="8"/>
  <c r="AV11" i="8" s="1"/>
  <c r="CV28" i="8"/>
  <c r="Q28" i="8"/>
  <c r="X28" i="8" s="1"/>
  <c r="AA28" i="8" s="1"/>
  <c r="M28" i="8"/>
  <c r="BX28" i="8" s="1"/>
  <c r="CE28" i="8" s="1"/>
  <c r="CV39" i="8"/>
  <c r="Q39" i="8"/>
  <c r="AV39" i="8" s="1"/>
  <c r="M39" i="8"/>
  <c r="CV41" i="8"/>
  <c r="M41" i="8"/>
  <c r="Q41" i="8"/>
  <c r="AV41" i="8" s="1"/>
  <c r="CV48" i="8"/>
  <c r="Q48" i="8"/>
  <c r="S48" i="8" s="1"/>
  <c r="M48" i="8"/>
  <c r="CV50" i="8"/>
  <c r="M50" i="8"/>
  <c r="Q50" i="8"/>
  <c r="AV50" i="8" s="1"/>
  <c r="CV32" i="8"/>
  <c r="M32" i="8"/>
  <c r="Q32" i="8"/>
  <c r="AV32" i="8" s="1"/>
  <c r="CV43" i="8"/>
  <c r="M43" i="8"/>
  <c r="Q43" i="8"/>
  <c r="Y43" i="8" s="1"/>
  <c r="CV52" i="8"/>
  <c r="M52" i="8"/>
  <c r="Q52" i="8"/>
  <c r="CV45" i="8"/>
  <c r="M45" i="8"/>
  <c r="Q45" i="8"/>
  <c r="AV45" i="8" s="1"/>
  <c r="CV12" i="8"/>
  <c r="Q12" i="8"/>
  <c r="M12" i="8"/>
  <c r="CV19" i="8"/>
  <c r="M19" i="8"/>
  <c r="Q19" i="8"/>
  <c r="AB19" i="8" s="1"/>
  <c r="CV36" i="8"/>
  <c r="M36" i="8"/>
  <c r="Q36" i="8"/>
  <c r="CV35" i="8"/>
  <c r="M35" i="8"/>
  <c r="Q35" i="8"/>
  <c r="AB35" i="8" s="1"/>
  <c r="CV16" i="8"/>
  <c r="Q16" i="8"/>
  <c r="AC16" i="8" s="1"/>
  <c r="M16" i="8"/>
  <c r="CV5" i="8"/>
  <c r="M5" i="8"/>
  <c r="Q5" i="8"/>
  <c r="CV53" i="8"/>
  <c r="M53" i="8"/>
  <c r="Q53" i="8"/>
  <c r="S53" i="8" s="1"/>
  <c r="CV17" i="8"/>
  <c r="M17" i="8"/>
  <c r="Q17" i="8"/>
  <c r="AV17" i="8" s="1"/>
  <c r="CV54" i="8"/>
  <c r="M54" i="8"/>
  <c r="Q54" i="8"/>
  <c r="AV54" i="8" s="1"/>
  <c r="CV40" i="8"/>
  <c r="Q40" i="8"/>
  <c r="AV40" i="8" s="1"/>
  <c r="M40" i="8"/>
  <c r="CV10" i="8"/>
  <c r="M10" i="8"/>
  <c r="Q10" i="8"/>
  <c r="AV10" i="8" s="1"/>
  <c r="CV34" i="8"/>
  <c r="M34" i="8"/>
  <c r="Q34" i="8"/>
  <c r="CV44" i="8"/>
  <c r="M44" i="8"/>
  <c r="Q44" i="8"/>
  <c r="AV44" i="8" s="1"/>
  <c r="CV21" i="8"/>
  <c r="M21" i="8"/>
  <c r="Q21" i="8"/>
  <c r="CV30" i="8"/>
  <c r="M30" i="8"/>
  <c r="Q30" i="8"/>
  <c r="AV30" i="8" s="1"/>
  <c r="CV6" i="8"/>
  <c r="M6" i="8"/>
  <c r="Q6" i="8"/>
  <c r="CV4" i="8"/>
  <c r="Q4" i="8"/>
  <c r="X4" i="8" s="1"/>
  <c r="M4" i="8"/>
  <c r="CV47" i="8"/>
  <c r="M47" i="8"/>
  <c r="Q47" i="8"/>
  <c r="AV47" i="8" s="1"/>
  <c r="CV46" i="8"/>
  <c r="M46" i="8"/>
  <c r="Q46" i="8"/>
  <c r="AV46" i="8" s="1"/>
  <c r="CV51" i="8"/>
  <c r="M51" i="8"/>
  <c r="Q51" i="8"/>
  <c r="AV51" i="8" s="1"/>
  <c r="CV25" i="8"/>
  <c r="M25" i="8"/>
  <c r="Q25" i="8"/>
  <c r="S25" i="8" s="1"/>
  <c r="CV37" i="8"/>
  <c r="M37" i="8"/>
  <c r="Q37" i="8"/>
  <c r="S37" i="8" s="1"/>
  <c r="CV42" i="8"/>
  <c r="M42" i="8"/>
  <c r="Q42" i="8"/>
  <c r="AV42" i="8" s="1"/>
  <c r="CV23" i="8"/>
  <c r="M23" i="8"/>
  <c r="Q23" i="8"/>
  <c r="CV31" i="8"/>
  <c r="M31" i="8"/>
  <c r="BX31" i="8" s="1"/>
  <c r="CE31" i="8" s="1"/>
  <c r="Q31" i="8"/>
  <c r="AC31" i="8" s="1"/>
  <c r="CV27" i="8"/>
  <c r="M27" i="8"/>
  <c r="Q27" i="8"/>
  <c r="CV9" i="8"/>
  <c r="M9" i="8"/>
  <c r="Q9" i="8"/>
  <c r="CV26" i="8"/>
  <c r="M26" i="8"/>
  <c r="Q26" i="8"/>
  <c r="Y26" i="8" s="1"/>
  <c r="CV33" i="8"/>
  <c r="M33" i="8"/>
  <c r="Q33" i="8"/>
  <c r="CV15" i="8"/>
  <c r="M15" i="8"/>
  <c r="Q15" i="8"/>
  <c r="CV20" i="8"/>
  <c r="Q20" i="8"/>
  <c r="S20" i="8" s="1"/>
  <c r="M20" i="8"/>
  <c r="BX20" i="8" s="1"/>
  <c r="CE20" i="8" s="1"/>
  <c r="CV38" i="8"/>
  <c r="M38" i="8"/>
  <c r="Q38" i="8"/>
  <c r="CV29" i="8"/>
  <c r="M29" i="8"/>
  <c r="BX29" i="8" s="1"/>
  <c r="CE29" i="8" s="1"/>
  <c r="Q29" i="8"/>
  <c r="AB29" i="8" s="1"/>
  <c r="CV30" i="2"/>
  <c r="Q30" i="2"/>
  <c r="AV30" i="2" s="1"/>
  <c r="CV37" i="2"/>
  <c r="Q37" i="2"/>
  <c r="AV37" i="2" s="1"/>
  <c r="CV47" i="2"/>
  <c r="Q47" i="2"/>
  <c r="CV43" i="2"/>
  <c r="Q43" i="2"/>
  <c r="AC43" i="2" s="1"/>
  <c r="CV20" i="2"/>
  <c r="Q20" i="2"/>
  <c r="AC20" i="2" s="1"/>
  <c r="CV28" i="2"/>
  <c r="Q28" i="2"/>
  <c r="X28" i="2" s="1"/>
  <c r="CV17" i="2"/>
  <c r="Q17" i="2"/>
  <c r="X17" i="2" s="1"/>
  <c r="CV45" i="2"/>
  <c r="Q45" i="2"/>
  <c r="CV39" i="2"/>
  <c r="Q39" i="2"/>
  <c r="AC39" i="2" s="1"/>
  <c r="CV33" i="2"/>
  <c r="Q33" i="2"/>
  <c r="AV33" i="2" s="1"/>
  <c r="CV10" i="2"/>
  <c r="Q10" i="2"/>
  <c r="CV18" i="2"/>
  <c r="Q18" i="2"/>
  <c r="AC18" i="2" s="1"/>
  <c r="CV49" i="2"/>
  <c r="Q49" i="2"/>
  <c r="CV35" i="2"/>
  <c r="Q35" i="2"/>
  <c r="AV35" i="2" s="1"/>
  <c r="CV9" i="2"/>
  <c r="Q9" i="2"/>
  <c r="AV9" i="2" s="1"/>
  <c r="CV48" i="2"/>
  <c r="Q48" i="2"/>
  <c r="AV48" i="2" s="1"/>
  <c r="CV21" i="2"/>
  <c r="Q21" i="2"/>
  <c r="CV6" i="2"/>
  <c r="Q6" i="2"/>
  <c r="AV6" i="2" s="1"/>
  <c r="CV23" i="2"/>
  <c r="Q23" i="2"/>
  <c r="CV34" i="2"/>
  <c r="Q34" i="2"/>
  <c r="AV34" i="2" s="1"/>
  <c r="CV32" i="2"/>
  <c r="Q32" i="2"/>
  <c r="AB32" i="2" s="1"/>
  <c r="CV15" i="2"/>
  <c r="Q15" i="2"/>
  <c r="AV15" i="2" s="1"/>
  <c r="CV46" i="2"/>
  <c r="Q46" i="2"/>
  <c r="AV46" i="2" s="1"/>
  <c r="CV41" i="2"/>
  <c r="Q41" i="2"/>
  <c r="CV44" i="2"/>
  <c r="Q44" i="2"/>
  <c r="CV38" i="2"/>
  <c r="Q38" i="2"/>
  <c r="AV38" i="2" s="1"/>
  <c r="CV31" i="2"/>
  <c r="Q31" i="2"/>
  <c r="CV27" i="2"/>
  <c r="Q27" i="2"/>
  <c r="CV51" i="2"/>
  <c r="Q51" i="2"/>
  <c r="AB51" i="2" s="1"/>
  <c r="CV13" i="2"/>
  <c r="Q13" i="2"/>
  <c r="CV24" i="2"/>
  <c r="Q24" i="2"/>
  <c r="AV24" i="2" s="1"/>
  <c r="CV8" i="2"/>
  <c r="Q8" i="2"/>
  <c r="CV26" i="2"/>
  <c r="Q26" i="2"/>
  <c r="S26" i="2" s="1"/>
  <c r="CV52" i="2"/>
  <c r="Q52" i="2"/>
  <c r="CV29" i="2"/>
  <c r="Q29" i="2"/>
  <c r="CV36" i="2"/>
  <c r="Q36" i="2"/>
  <c r="AV36" i="2" s="1"/>
  <c r="CV54" i="2"/>
  <c r="Q54" i="2"/>
  <c r="X54" i="2" s="1"/>
  <c r="CV53" i="2"/>
  <c r="Q53" i="2"/>
  <c r="AV53" i="2" s="1"/>
  <c r="CV12" i="2"/>
  <c r="Q12" i="2"/>
  <c r="AB12" i="2" s="1"/>
  <c r="CV5" i="2"/>
  <c r="Q5" i="2"/>
  <c r="CV25" i="2"/>
  <c r="Q25" i="2"/>
  <c r="CV40" i="2"/>
  <c r="Q40" i="2"/>
  <c r="AV40" i="2" s="1"/>
  <c r="CV11" i="2"/>
  <c r="Q11" i="2"/>
  <c r="CV16" i="2"/>
  <c r="Q16" i="2"/>
  <c r="Y16" i="2" s="1"/>
  <c r="CV7" i="2"/>
  <c r="Q7" i="2"/>
  <c r="AV7" i="2" s="1"/>
  <c r="CV42" i="2"/>
  <c r="Q42" i="2"/>
  <c r="CV19" i="2"/>
  <c r="Q19" i="2"/>
  <c r="AV19" i="2" s="1"/>
  <c r="CV50" i="2"/>
  <c r="Q50" i="2"/>
  <c r="AV50" i="2" s="1"/>
  <c r="CV14" i="2"/>
  <c r="Q14" i="2"/>
  <c r="X14" i="2" s="1"/>
  <c r="CV22" i="2"/>
  <c r="Q22" i="2"/>
  <c r="AV22" i="2" s="1"/>
  <c r="O43" i="16"/>
  <c r="N15" i="16"/>
  <c r="AW15" i="16" s="1"/>
  <c r="BB15" i="16" s="1"/>
  <c r="BC15" i="16" s="1"/>
  <c r="N10" i="16"/>
  <c r="AW10" i="16" s="1"/>
  <c r="BB10" i="16" s="1"/>
  <c r="BC10" i="16" s="1"/>
  <c r="N16" i="16"/>
  <c r="Q16" i="16" s="1"/>
  <c r="O5" i="16"/>
  <c r="O49" i="16"/>
  <c r="CV4" i="2"/>
  <c r="B59" i="16"/>
  <c r="B132" i="26" s="1"/>
  <c r="B59" i="9"/>
  <c r="B130" i="23" s="1"/>
  <c r="N23" i="16"/>
  <c r="P23" i="16" s="1"/>
  <c r="M23" i="16" s="1"/>
  <c r="N47" i="16"/>
  <c r="P47" i="16" s="1"/>
  <c r="M47" i="16" s="1"/>
  <c r="N53" i="16"/>
  <c r="Q53" i="16" s="1"/>
  <c r="O48" i="16"/>
  <c r="B60" i="9"/>
  <c r="B131" i="23" s="1"/>
  <c r="B60" i="16"/>
  <c r="B133" i="26" s="1"/>
  <c r="O54" i="16"/>
  <c r="N21" i="16"/>
  <c r="P21" i="16" s="1"/>
  <c r="M21" i="16" s="1"/>
  <c r="N42" i="16"/>
  <c r="Q42" i="16" s="1"/>
  <c r="N38" i="16"/>
  <c r="Q38" i="16" s="1"/>
  <c r="S38" i="16" s="1"/>
  <c r="B57" i="9"/>
  <c r="B128" i="23" s="1"/>
  <c r="B57" i="16"/>
  <c r="B130" i="26" s="1"/>
  <c r="N11" i="16"/>
  <c r="AW11" i="16" s="1"/>
  <c r="BB11" i="16" s="1"/>
  <c r="BC11" i="16" s="1"/>
  <c r="N9" i="16"/>
  <c r="AW9" i="16" s="1"/>
  <c r="AZ9" i="16" s="1"/>
  <c r="N34" i="16"/>
  <c r="AW34" i="16" s="1"/>
  <c r="BD34" i="16" s="1"/>
  <c r="BE34" i="16" s="1"/>
  <c r="O46" i="16"/>
  <c r="N35" i="16"/>
  <c r="P35" i="16" s="1"/>
  <c r="M35" i="16" s="1"/>
  <c r="O51" i="16"/>
  <c r="N4" i="16"/>
  <c r="Q4" i="16" s="1"/>
  <c r="N50" i="16"/>
  <c r="Q50" i="16" s="1"/>
  <c r="S50" i="16" s="1"/>
  <c r="N37" i="16"/>
  <c r="Q37" i="16" s="1"/>
  <c r="S37" i="16" s="1"/>
  <c r="B58" i="16"/>
  <c r="B131" i="26" s="1"/>
  <c r="B58" i="9"/>
  <c r="B129" i="23" s="1"/>
  <c r="N18" i="16"/>
  <c r="AW18" i="16" s="1"/>
  <c r="BA18" i="16" s="1"/>
  <c r="N12" i="16"/>
  <c r="AW12" i="16" s="1"/>
  <c r="AX12" i="16" s="1"/>
  <c r="AY12" i="16" s="1"/>
  <c r="N19" i="16"/>
  <c r="AW19" i="16" s="1"/>
  <c r="AZ19" i="16" s="1"/>
  <c r="B8" i="16"/>
  <c r="B41" i="16"/>
  <c r="B138" i="26" s="1"/>
  <c r="B43" i="16"/>
  <c r="B141" i="26" s="1"/>
  <c r="N39" i="16"/>
  <c r="P39" i="16" s="1"/>
  <c r="M39" i="16" s="1"/>
  <c r="N40" i="16"/>
  <c r="AW40" i="16" s="1"/>
  <c r="N17" i="16"/>
  <c r="AW17" i="16" s="1"/>
  <c r="BA17" i="16" s="1"/>
  <c r="N36" i="16"/>
  <c r="P36" i="16" s="1"/>
  <c r="M36" i="16" s="1"/>
  <c r="N51" i="16"/>
  <c r="Q51" i="16" s="1"/>
  <c r="S51" i="16" s="1"/>
  <c r="N32" i="16"/>
  <c r="AW32" i="16" s="1"/>
  <c r="BB32" i="16" s="1"/>
  <c r="BC32" i="16" s="1"/>
  <c r="N46" i="16"/>
  <c r="Q46" i="16" s="1"/>
  <c r="S46" i="16" s="1"/>
  <c r="O29" i="16"/>
  <c r="O31" i="16"/>
  <c r="O26" i="16"/>
  <c r="O28" i="16"/>
  <c r="B138" i="3"/>
  <c r="Z13" i="16"/>
  <c r="Z14" i="16"/>
  <c r="Y14" i="16" s="1"/>
  <c r="AA14" i="16" s="1"/>
  <c r="AB14" i="16" s="1"/>
  <c r="Z15" i="16"/>
  <c r="Y15" i="16" s="1"/>
  <c r="Z24" i="16"/>
  <c r="Y24" i="16" s="1"/>
  <c r="Z26" i="16"/>
  <c r="Z38" i="16"/>
  <c r="Y38" i="16" s="1"/>
  <c r="Z48" i="16"/>
  <c r="Y48" i="16" s="1"/>
  <c r="AA48" i="16" s="1"/>
  <c r="AB48" i="16" s="1"/>
  <c r="Z8" i="16"/>
  <c r="Z19" i="16"/>
  <c r="Z22" i="16"/>
  <c r="Z29" i="16"/>
  <c r="Z54" i="16"/>
  <c r="Y54" i="16" s="1"/>
  <c r="AA54" i="16" s="1"/>
  <c r="AB54" i="16" s="1"/>
  <c r="Z25" i="16"/>
  <c r="Y25" i="16" s="1"/>
  <c r="AA25" i="16" s="1"/>
  <c r="AB25" i="16" s="1"/>
  <c r="Z34" i="16"/>
  <c r="Y34" i="16" s="1"/>
  <c r="AA34" i="16" s="1"/>
  <c r="AB34" i="16" s="1"/>
  <c r="Z37" i="16"/>
  <c r="Y37" i="16" s="1"/>
  <c r="AA37" i="16" s="1"/>
  <c r="AB37" i="16" s="1"/>
  <c r="Z53" i="16"/>
  <c r="Y53" i="16" s="1"/>
  <c r="Z42" i="16"/>
  <c r="Y42" i="16" s="1"/>
  <c r="Z44" i="16"/>
  <c r="Y44" i="16" s="1"/>
  <c r="AA44" i="16" s="1"/>
  <c r="AB44" i="16" s="1"/>
  <c r="Z47" i="16"/>
  <c r="Z51" i="16"/>
  <c r="Z4" i="16"/>
  <c r="Y4" i="16" s="1"/>
  <c r="Z32" i="16"/>
  <c r="Y32" i="16" s="1"/>
  <c r="AA32" i="16" s="1"/>
  <c r="Z35" i="16"/>
  <c r="Y35" i="16" s="1"/>
  <c r="AA35" i="16" s="1"/>
  <c r="AB35" i="16" s="1"/>
  <c r="Z41" i="16"/>
  <c r="Y41" i="16" s="1"/>
  <c r="Z45" i="16"/>
  <c r="Y45" i="16" s="1"/>
  <c r="AA45" i="16" s="1"/>
  <c r="AB45" i="16" s="1"/>
  <c r="Z50" i="16"/>
  <c r="Y50" i="16" s="1"/>
  <c r="Z36" i="16"/>
  <c r="Y36" i="16" s="1"/>
  <c r="AA36" i="16" s="1"/>
  <c r="Z43" i="16"/>
  <c r="Y43" i="16" s="1"/>
  <c r="AA43" i="16" s="1"/>
  <c r="AB43" i="16" s="1"/>
  <c r="Z5" i="16"/>
  <c r="Z17" i="16"/>
  <c r="Z21" i="16"/>
  <c r="Z23" i="16"/>
  <c r="Z10" i="16"/>
  <c r="Y10" i="16" s="1"/>
  <c r="AA10" i="16" s="1"/>
  <c r="AB10" i="16" s="1"/>
  <c r="Z39" i="16"/>
  <c r="Z7" i="16"/>
  <c r="Y7" i="16" s="1"/>
  <c r="AA7" i="16" s="1"/>
  <c r="AB7" i="16" s="1"/>
  <c r="Z31" i="16"/>
  <c r="Z12" i="16"/>
  <c r="Z28" i="16"/>
  <c r="Y28" i="16" s="1"/>
  <c r="AA28" i="16" s="1"/>
  <c r="Z52" i="16"/>
  <c r="Z40" i="16"/>
  <c r="Z46" i="16"/>
  <c r="Z6" i="16"/>
  <c r="Z16" i="16"/>
  <c r="Z18" i="16"/>
  <c r="Z20" i="16"/>
  <c r="Y20" i="16" s="1"/>
  <c r="Z27" i="16"/>
  <c r="Y27" i="16" s="1"/>
  <c r="Z30" i="16"/>
  <c r="Y30" i="16" s="1"/>
  <c r="Z9" i="16"/>
  <c r="Y9" i="16" s="1"/>
  <c r="Z33" i="16"/>
  <c r="Z49" i="16"/>
  <c r="Y49" i="16" s="1"/>
  <c r="AA49" i="16" s="1"/>
  <c r="AB49" i="16" s="1"/>
  <c r="Z11" i="16"/>
  <c r="O13" i="16"/>
  <c r="O18" i="16"/>
  <c r="O12" i="16"/>
  <c r="O19" i="16"/>
  <c r="O24" i="16"/>
  <c r="N28" i="16"/>
  <c r="AW28" i="16" s="1"/>
  <c r="O40" i="16"/>
  <c r="O7" i="16"/>
  <c r="O17" i="16"/>
  <c r="O8" i="16"/>
  <c r="O15" i="16"/>
  <c r="O53" i="16"/>
  <c r="N31" i="16"/>
  <c r="O22" i="16"/>
  <c r="O33" i="16"/>
  <c r="B151" i="3"/>
  <c r="J151" i="3" s="1"/>
  <c r="AI13" i="9"/>
  <c r="AI18" i="9"/>
  <c r="AI23" i="9"/>
  <c r="AI5" i="9"/>
  <c r="AI8" i="9"/>
  <c r="AI11" i="9"/>
  <c r="AI16" i="9"/>
  <c r="AI26" i="9"/>
  <c r="AI46" i="9"/>
  <c r="AI51" i="9"/>
  <c r="AI53" i="9"/>
  <c r="AI6" i="9"/>
  <c r="AI9" i="9"/>
  <c r="AI12" i="9"/>
  <c r="AI24" i="9"/>
  <c r="AI27" i="9"/>
  <c r="AI30" i="9"/>
  <c r="AI33" i="9"/>
  <c r="AI36" i="9"/>
  <c r="AI39" i="9"/>
  <c r="AI15" i="9"/>
  <c r="AI17" i="9"/>
  <c r="AI22" i="9"/>
  <c r="AI42" i="9"/>
  <c r="AI52" i="9"/>
  <c r="AI14" i="9"/>
  <c r="AI31" i="9"/>
  <c r="AI32" i="9"/>
  <c r="AI7" i="9"/>
  <c r="AI25" i="9"/>
  <c r="AI37" i="9"/>
  <c r="AI38" i="9"/>
  <c r="AI10" i="9"/>
  <c r="AI40" i="9"/>
  <c r="AI28" i="9"/>
  <c r="AI35" i="9"/>
  <c r="AI43" i="9"/>
  <c r="AI44" i="9"/>
  <c r="AI45" i="9"/>
  <c r="AI20" i="9"/>
  <c r="AI41" i="9"/>
  <c r="AI48" i="9"/>
  <c r="AI47" i="9"/>
  <c r="AI50" i="9"/>
  <c r="AI19" i="9"/>
  <c r="AI54" i="9"/>
  <c r="AI21" i="9"/>
  <c r="AI49" i="9"/>
  <c r="AI34" i="9"/>
  <c r="AI29" i="9"/>
  <c r="B139" i="3"/>
  <c r="B148" i="3" s="1"/>
  <c r="AC7" i="9"/>
  <c r="AC45" i="9"/>
  <c r="AC50" i="9"/>
  <c r="AC10" i="9"/>
  <c r="AC20" i="9"/>
  <c r="AC25" i="9"/>
  <c r="AC28" i="9"/>
  <c r="AC31" i="9"/>
  <c r="AC34" i="9"/>
  <c r="AC37" i="9"/>
  <c r="AC40" i="9"/>
  <c r="AC43" i="9"/>
  <c r="AC48" i="9"/>
  <c r="AC29" i="9"/>
  <c r="AC32" i="9"/>
  <c r="AC35" i="9"/>
  <c r="AC38" i="9"/>
  <c r="AC41" i="9"/>
  <c r="AC44" i="9"/>
  <c r="AC14" i="9"/>
  <c r="AC19" i="9"/>
  <c r="AC21" i="9"/>
  <c r="AC47" i="9"/>
  <c r="AC49" i="9"/>
  <c r="AC54" i="9"/>
  <c r="AC6" i="9"/>
  <c r="AC23" i="9"/>
  <c r="AC24" i="9"/>
  <c r="AC5" i="9"/>
  <c r="AC22" i="9"/>
  <c r="AC12" i="9"/>
  <c r="AC13" i="9"/>
  <c r="AC30" i="9"/>
  <c r="AC11" i="9"/>
  <c r="AC17" i="9"/>
  <c r="AC39" i="9"/>
  <c r="AC8" i="9"/>
  <c r="AC16" i="9"/>
  <c r="AC42" i="9"/>
  <c r="AC52" i="9"/>
  <c r="AC53" i="9"/>
  <c r="AC26" i="9"/>
  <c r="AC33" i="9"/>
  <c r="AC51" i="9"/>
  <c r="AC46" i="9"/>
  <c r="AC27" i="9"/>
  <c r="AC18" i="9"/>
  <c r="AC36" i="9"/>
  <c r="AC9" i="9"/>
  <c r="AC15" i="9"/>
  <c r="AC4" i="9"/>
  <c r="O10" i="16"/>
  <c r="O30" i="16"/>
  <c r="O16" i="16"/>
  <c r="N43" i="16"/>
  <c r="P43" i="16" s="1"/>
  <c r="M43" i="16" s="1"/>
  <c r="O45" i="16"/>
  <c r="N29" i="16"/>
  <c r="P29" i="16" s="1"/>
  <c r="M29" i="16" s="1"/>
  <c r="N49" i="16"/>
  <c r="Q49" i="16" s="1"/>
  <c r="S49" i="16" s="1"/>
  <c r="N30" i="16"/>
  <c r="AW30" i="16" s="1"/>
  <c r="N8" i="16"/>
  <c r="Q8" i="16" s="1"/>
  <c r="S8" i="16" s="1"/>
  <c r="O27" i="16"/>
  <c r="O6" i="16"/>
  <c r="O41" i="16"/>
  <c r="N6" i="16"/>
  <c r="AW6" i="16" s="1"/>
  <c r="O44" i="16"/>
  <c r="O36" i="16"/>
  <c r="O25" i="16"/>
  <c r="N41" i="16"/>
  <c r="Q41" i="16" s="1"/>
  <c r="S41" i="16" s="1"/>
  <c r="O21" i="16"/>
  <c r="O37" i="16"/>
  <c r="O20" i="16"/>
  <c r="O42" i="16"/>
  <c r="O38" i="16"/>
  <c r="O32" i="16"/>
  <c r="N54" i="16"/>
  <c r="AW54" i="16" s="1"/>
  <c r="N22" i="16"/>
  <c r="N27" i="16"/>
  <c r="P27" i="16" s="1"/>
  <c r="M27" i="16" s="1"/>
  <c r="O47" i="16"/>
  <c r="N33" i="16"/>
  <c r="N44" i="16"/>
  <c r="P44" i="16" s="1"/>
  <c r="M44" i="16" s="1"/>
  <c r="N5" i="16"/>
  <c r="AW5" i="16" s="1"/>
  <c r="B141" i="3"/>
  <c r="B150" i="3" s="1"/>
  <c r="J150" i="3" s="1"/>
  <c r="AG29" i="9"/>
  <c r="AG32" i="9"/>
  <c r="AG35" i="9"/>
  <c r="AG38" i="9"/>
  <c r="AG41" i="9"/>
  <c r="AG44" i="9"/>
  <c r="AG14" i="9"/>
  <c r="AG19" i="9"/>
  <c r="AG21" i="9"/>
  <c r="AG47" i="9"/>
  <c r="AG49" i="9"/>
  <c r="AG54" i="9"/>
  <c r="AG7" i="9"/>
  <c r="AG45" i="9"/>
  <c r="AG50" i="9"/>
  <c r="AG10" i="9"/>
  <c r="AG20" i="9"/>
  <c r="AG25" i="9"/>
  <c r="AG28" i="9"/>
  <c r="AG31" i="9"/>
  <c r="AG34" i="9"/>
  <c r="AG37" i="9"/>
  <c r="AG40" i="9"/>
  <c r="AG43" i="9"/>
  <c r="AG48" i="9"/>
  <c r="AG11" i="9"/>
  <c r="AG9" i="9"/>
  <c r="AG27" i="9"/>
  <c r="AG39" i="9"/>
  <c r="AG5" i="9"/>
  <c r="AG22" i="9"/>
  <c r="AG51" i="9"/>
  <c r="AG52" i="9"/>
  <c r="AG18" i="9"/>
  <c r="AG33" i="9"/>
  <c r="AG13" i="9"/>
  <c r="AG26" i="9"/>
  <c r="AG12" i="9"/>
  <c r="AG36" i="9"/>
  <c r="AG4" i="9"/>
  <c r="AG8" i="9"/>
  <c r="AG16" i="9"/>
  <c r="AG23" i="9"/>
  <c r="AG42" i="9"/>
  <c r="AG15" i="9"/>
  <c r="AG17" i="9"/>
  <c r="AG30" i="9"/>
  <c r="AG24" i="9"/>
  <c r="AG53" i="9"/>
  <c r="AG46" i="9"/>
  <c r="AG6" i="9"/>
  <c r="O23" i="16"/>
  <c r="O14" i="16"/>
  <c r="N48" i="16"/>
  <c r="Q48" i="16" s="1"/>
  <c r="S48" i="16" s="1"/>
  <c r="O52" i="16"/>
  <c r="N14" i="16"/>
  <c r="B140" i="3"/>
  <c r="B149" i="3" s="1"/>
  <c r="D149" i="3" s="1"/>
  <c r="AE6" i="9"/>
  <c r="AE9" i="9"/>
  <c r="AE12" i="9"/>
  <c r="AE24" i="9"/>
  <c r="AE27" i="9"/>
  <c r="AE30" i="9"/>
  <c r="AE33" i="9"/>
  <c r="AE36" i="9"/>
  <c r="AE39" i="9"/>
  <c r="AE15" i="9"/>
  <c r="AE17" i="9"/>
  <c r="AE22" i="9"/>
  <c r="AE42" i="9"/>
  <c r="AE52" i="9"/>
  <c r="AE13" i="9"/>
  <c r="AE18" i="9"/>
  <c r="AE23" i="9"/>
  <c r="AE5" i="9"/>
  <c r="AE8" i="9"/>
  <c r="AE11" i="9"/>
  <c r="AE16" i="9"/>
  <c r="AE26" i="9"/>
  <c r="AE46" i="9"/>
  <c r="AE51" i="9"/>
  <c r="AE53" i="9"/>
  <c r="AE7" i="9"/>
  <c r="AE25" i="9"/>
  <c r="AE37" i="9"/>
  <c r="AE38" i="9"/>
  <c r="AE14" i="9"/>
  <c r="AE31" i="9"/>
  <c r="AE32" i="9"/>
  <c r="AE21" i="9"/>
  <c r="AE28" i="9"/>
  <c r="AE35" i="9"/>
  <c r="AE43" i="9"/>
  <c r="AE44" i="9"/>
  <c r="AE45" i="9"/>
  <c r="AE19" i="9"/>
  <c r="AE41" i="9"/>
  <c r="AE54" i="9"/>
  <c r="AE10" i="9"/>
  <c r="AE20" i="9"/>
  <c r="AE40" i="9"/>
  <c r="AE50" i="9"/>
  <c r="AE34" i="9"/>
  <c r="AE29" i="9"/>
  <c r="AE48" i="9"/>
  <c r="AE4" i="9"/>
  <c r="AE47" i="9"/>
  <c r="AE49" i="9"/>
  <c r="O39" i="16"/>
  <c r="O11" i="16"/>
  <c r="O9" i="16"/>
  <c r="O34" i="16"/>
  <c r="O35" i="16"/>
  <c r="N26" i="16"/>
  <c r="P26" i="16" s="1"/>
  <c r="M26" i="16" s="1"/>
  <c r="N45" i="16"/>
  <c r="O50" i="16"/>
  <c r="N25" i="16"/>
  <c r="AW25" i="16" s="1"/>
  <c r="N13" i="16"/>
  <c r="Q13" i="16" s="1"/>
  <c r="S13" i="16" s="1"/>
  <c r="N20" i="16"/>
  <c r="AW20" i="16" s="1"/>
  <c r="N52" i="16"/>
  <c r="P52" i="16" s="1"/>
  <c r="M52" i="16" s="1"/>
  <c r="N24" i="16"/>
  <c r="P24" i="16" s="1"/>
  <c r="M24" i="16" s="1"/>
  <c r="N7" i="16"/>
  <c r="P7" i="16" s="1"/>
  <c r="M7" i="16" s="1"/>
  <c r="B105" i="3"/>
  <c r="B101" i="3"/>
  <c r="B103" i="3"/>
  <c r="B112" i="3" s="1"/>
  <c r="D112" i="3" s="1"/>
  <c r="B104" i="3"/>
  <c r="B113" i="3" s="1"/>
  <c r="B102" i="3"/>
  <c r="B111" i="3" s="1"/>
  <c r="R54" i="9"/>
  <c r="O4" i="16"/>
  <c r="R30" i="9"/>
  <c r="R48" i="9"/>
  <c r="R38" i="9"/>
  <c r="R25" i="9"/>
  <c r="R49" i="9"/>
  <c r="R33" i="9"/>
  <c r="R21" i="9"/>
  <c r="R17" i="9"/>
  <c r="R6" i="9"/>
  <c r="R46" i="9"/>
  <c r="R31" i="9"/>
  <c r="R28" i="9"/>
  <c r="R47" i="9"/>
  <c r="R26" i="9"/>
  <c r="R13" i="9"/>
  <c r="R22" i="9"/>
  <c r="R9" i="9"/>
  <c r="R18" i="9"/>
  <c r="R37" i="9"/>
  <c r="R15" i="9"/>
  <c r="R4" i="9"/>
  <c r="R20" i="9"/>
  <c r="R12" i="9"/>
  <c r="R53" i="9"/>
  <c r="R7" i="9"/>
  <c r="R16" i="9"/>
  <c r="R32" i="9"/>
  <c r="R44" i="9"/>
  <c r="R39" i="9"/>
  <c r="R52" i="9"/>
  <c r="R14" i="9"/>
  <c r="R29" i="9"/>
  <c r="R42" i="9"/>
  <c r="R36" i="9"/>
  <c r="R40" i="9"/>
  <c r="R5" i="9"/>
  <c r="R27" i="9"/>
  <c r="R51" i="9"/>
  <c r="R43" i="9"/>
  <c r="R41" i="9"/>
  <c r="R34" i="9"/>
  <c r="R11" i="9"/>
  <c r="R24" i="9"/>
  <c r="R23" i="9"/>
  <c r="R8" i="9"/>
  <c r="R50" i="9"/>
  <c r="R19" i="9"/>
  <c r="R45" i="9"/>
  <c r="R10" i="9"/>
  <c r="R35" i="9"/>
  <c r="V4" i="16" l="1"/>
  <c r="U4" i="16" s="1"/>
  <c r="BX41" i="2"/>
  <c r="CE41" i="2" s="1"/>
  <c r="R45" i="2"/>
  <c r="CH45" i="2" s="1"/>
  <c r="BX21" i="2"/>
  <c r="CE21" i="2" s="1"/>
  <c r="R21" i="2"/>
  <c r="CH21" i="2" s="1"/>
  <c r="BX49" i="2"/>
  <c r="CE49" i="2" s="1"/>
  <c r="BX5" i="2"/>
  <c r="CE5" i="2" s="1"/>
  <c r="CF50" i="2"/>
  <c r="R29" i="2"/>
  <c r="CH29" i="2" s="1"/>
  <c r="BX35" i="2"/>
  <c r="CE35" i="2" s="1"/>
  <c r="BX52" i="2"/>
  <c r="CE52" i="2" s="1"/>
  <c r="BX13" i="2"/>
  <c r="CE13" i="2" s="1"/>
  <c r="R4" i="2"/>
  <c r="CG4" i="2" s="1"/>
  <c r="CF29" i="2"/>
  <c r="CF45" i="2"/>
  <c r="BX44" i="2"/>
  <c r="CE44" i="2" s="1"/>
  <c r="BX16" i="2"/>
  <c r="CE16" i="2" s="1"/>
  <c r="CF15" i="2"/>
  <c r="R5" i="2"/>
  <c r="CH5" i="2" s="1"/>
  <c r="BX40" i="2"/>
  <c r="CE40" i="2" s="1"/>
  <c r="CF39" i="2"/>
  <c r="CZ5" i="16"/>
  <c r="CZ48" i="16"/>
  <c r="V16" i="16"/>
  <c r="U16" i="16" s="1"/>
  <c r="W16" i="16" s="1"/>
  <c r="X16" i="16" s="1"/>
  <c r="CZ31" i="16"/>
  <c r="CZ46" i="16"/>
  <c r="V14" i="16"/>
  <c r="U14" i="16" s="1"/>
  <c r="W14" i="16" s="1"/>
  <c r="X14" i="16" s="1"/>
  <c r="CW48" i="9"/>
  <c r="Q33" i="9"/>
  <c r="AK33" i="9" s="1"/>
  <c r="AL33" i="9" s="1"/>
  <c r="V21" i="16"/>
  <c r="U21" i="16" s="1"/>
  <c r="W21" i="16" s="1"/>
  <c r="X21" i="16" s="1"/>
  <c r="CW10" i="9"/>
  <c r="Q11" i="9"/>
  <c r="T11" i="9" s="1"/>
  <c r="CW16" i="9"/>
  <c r="V12" i="16"/>
  <c r="U12" i="16" s="1"/>
  <c r="W12" i="16" s="1"/>
  <c r="X12" i="16" s="1"/>
  <c r="CZ4" i="16"/>
  <c r="CZ53" i="16"/>
  <c r="Q10" i="9"/>
  <c r="AK10" i="9" s="1"/>
  <c r="AL10" i="9" s="1"/>
  <c r="V11" i="16"/>
  <c r="U11" i="16" s="1"/>
  <c r="W11" i="16" s="1"/>
  <c r="X11" i="16" s="1"/>
  <c r="CW53" i="9"/>
  <c r="V5" i="16"/>
  <c r="U5" i="16" s="1"/>
  <c r="W5" i="16" s="1"/>
  <c r="X5" i="16" s="1"/>
  <c r="CZ49" i="16"/>
  <c r="CZ40" i="16"/>
  <c r="CW35" i="9"/>
  <c r="Q30" i="9"/>
  <c r="AA30" i="9" s="1"/>
  <c r="AB30" i="9" s="1"/>
  <c r="Q22" i="9"/>
  <c r="AK22" i="9" s="1"/>
  <c r="AL22" i="9" s="1"/>
  <c r="Q5" i="9"/>
  <c r="AA5" i="9" s="1"/>
  <c r="AB5" i="9" s="1"/>
  <c r="Q40" i="9"/>
  <c r="AK40" i="9" s="1"/>
  <c r="AL40" i="9" s="1"/>
  <c r="V35" i="16"/>
  <c r="U35" i="16" s="1"/>
  <c r="W35" i="16" s="1"/>
  <c r="X35" i="16" s="1"/>
  <c r="V20" i="16"/>
  <c r="U20" i="16" s="1"/>
  <c r="W20" i="16" s="1"/>
  <c r="X20" i="16" s="1"/>
  <c r="CZ54" i="16"/>
  <c r="CW44" i="9"/>
  <c r="CZ23" i="16"/>
  <c r="CW31" i="9"/>
  <c r="CW33" i="9"/>
  <c r="B5" i="9"/>
  <c r="B6" i="9" s="1"/>
  <c r="Q14" i="9"/>
  <c r="AM14" i="9" s="1"/>
  <c r="AN14" i="9" s="1"/>
  <c r="AO14" i="9" s="1"/>
  <c r="Q32" i="9"/>
  <c r="AK32" i="9" s="1"/>
  <c r="AL32" i="9" s="1"/>
  <c r="V53" i="16"/>
  <c r="U53" i="16" s="1"/>
  <c r="W53" i="16" s="1"/>
  <c r="X53" i="16" s="1"/>
  <c r="V54" i="16"/>
  <c r="U54" i="16" s="1"/>
  <c r="W54" i="16" s="1"/>
  <c r="X54" i="16" s="1"/>
  <c r="CV4" i="16"/>
  <c r="CW37" i="9"/>
  <c r="CW8" i="9"/>
  <c r="CZ27" i="16"/>
  <c r="CW21" i="9"/>
  <c r="B7" i="9"/>
  <c r="B53" i="9" s="1"/>
  <c r="B155" i="23" s="1"/>
  <c r="Q44" i="9"/>
  <c r="AM44" i="9" s="1"/>
  <c r="AN44" i="9" s="1"/>
  <c r="AO44" i="9" s="1"/>
  <c r="Q23" i="9"/>
  <c r="AK23" i="9" s="1"/>
  <c r="AL23" i="9" s="1"/>
  <c r="V48" i="16"/>
  <c r="U48" i="16" s="1"/>
  <c r="W48" i="16" s="1"/>
  <c r="X48" i="16" s="1"/>
  <c r="V34" i="16"/>
  <c r="U34" i="16" s="1"/>
  <c r="W34" i="16" s="1"/>
  <c r="X34" i="16" s="1"/>
  <c r="V50" i="16"/>
  <c r="U50" i="16" s="1"/>
  <c r="W50" i="16" s="1"/>
  <c r="X50" i="16" s="1"/>
  <c r="CW25" i="9"/>
  <c r="CW36" i="9"/>
  <c r="CW29" i="9"/>
  <c r="CZ28" i="16"/>
  <c r="CW9" i="9"/>
  <c r="B109" i="9"/>
  <c r="B112" i="9" s="1"/>
  <c r="B118" i="9" s="1"/>
  <c r="D118" i="9" s="1"/>
  <c r="Q45" i="9"/>
  <c r="AK45" i="9" s="1"/>
  <c r="AL45" i="9" s="1"/>
  <c r="Q16" i="9"/>
  <c r="AK16" i="9" s="1"/>
  <c r="AL16" i="9" s="1"/>
  <c r="V26" i="16"/>
  <c r="U26" i="16" s="1"/>
  <c r="W26" i="16" s="1"/>
  <c r="X26" i="16" s="1"/>
  <c r="V44" i="16"/>
  <c r="U44" i="16" s="1"/>
  <c r="W44" i="16" s="1"/>
  <c r="X44" i="16" s="1"/>
  <c r="V9" i="16"/>
  <c r="U9" i="16" s="1"/>
  <c r="W9" i="16" s="1"/>
  <c r="X9" i="16" s="1"/>
  <c r="CV53" i="16"/>
  <c r="CW5" i="9"/>
  <c r="CW50" i="9"/>
  <c r="CZ32" i="16"/>
  <c r="CW19" i="9"/>
  <c r="CZ45" i="16"/>
  <c r="Q37" i="9"/>
  <c r="AM37" i="9" s="1"/>
  <c r="AT37" i="9" s="1"/>
  <c r="AU37" i="9" s="1"/>
  <c r="Q8" i="9"/>
  <c r="AK8" i="9" s="1"/>
  <c r="AL8" i="9" s="1"/>
  <c r="V42" i="16"/>
  <c r="U42" i="16" s="1"/>
  <c r="W42" i="16" s="1"/>
  <c r="X42" i="16" s="1"/>
  <c r="V27" i="16"/>
  <c r="U27" i="16" s="1"/>
  <c r="W27" i="16" s="1"/>
  <c r="X27" i="16" s="1"/>
  <c r="V38" i="16"/>
  <c r="U38" i="16" s="1"/>
  <c r="W38" i="16" s="1"/>
  <c r="X38" i="16" s="1"/>
  <c r="V43" i="16"/>
  <c r="U43" i="16" s="1"/>
  <c r="W43" i="16" s="1"/>
  <c r="X43" i="16" s="1"/>
  <c r="V39" i="16"/>
  <c r="U39" i="16" s="1"/>
  <c r="W39" i="16" s="1"/>
  <c r="X39" i="16" s="1"/>
  <c r="V30" i="16"/>
  <c r="U30" i="16" s="1"/>
  <c r="W30" i="16" s="1"/>
  <c r="X30" i="16" s="1"/>
  <c r="V8" i="16"/>
  <c r="U8" i="16" s="1"/>
  <c r="W8" i="16" s="1"/>
  <c r="X8" i="16" s="1"/>
  <c r="B56" i="9"/>
  <c r="B127" i="23" s="1"/>
  <c r="CW30" i="9"/>
  <c r="CZ29" i="16"/>
  <c r="CZ18" i="16"/>
  <c r="CW28" i="9"/>
  <c r="CW34" i="9"/>
  <c r="CZ37" i="16"/>
  <c r="CZ38" i="16"/>
  <c r="CZ8" i="16"/>
  <c r="CW51" i="9"/>
  <c r="CW15" i="9"/>
  <c r="CW6" i="9"/>
  <c r="CZ44" i="16"/>
  <c r="CZ9" i="16"/>
  <c r="Q27" i="9"/>
  <c r="Y27" i="9" s="1"/>
  <c r="Q15" i="9"/>
  <c r="AA15" i="9" s="1"/>
  <c r="AB15" i="9" s="1"/>
  <c r="Q29" i="9"/>
  <c r="AK29" i="9" s="1"/>
  <c r="AL29" i="9" s="1"/>
  <c r="Q20" i="9"/>
  <c r="AK20" i="9" s="1"/>
  <c r="AL20" i="9" s="1"/>
  <c r="Q9" i="9"/>
  <c r="AK9" i="9" s="1"/>
  <c r="AL9" i="9" s="1"/>
  <c r="Q51" i="9"/>
  <c r="T51" i="9" s="1"/>
  <c r="Q25" i="9"/>
  <c r="Y25" i="9" s="1"/>
  <c r="V52" i="16"/>
  <c r="U52" i="16" s="1"/>
  <c r="W52" i="16" s="1"/>
  <c r="X52" i="16" s="1"/>
  <c r="V7" i="16"/>
  <c r="U7" i="16" s="1"/>
  <c r="W7" i="16" s="1"/>
  <c r="X7" i="16" s="1"/>
  <c r="CZ50" i="16"/>
  <c r="CZ16" i="16"/>
  <c r="CZ52" i="16"/>
  <c r="CZ41" i="16"/>
  <c r="Q52" i="9"/>
  <c r="AK52" i="9" s="1"/>
  <c r="AL52" i="9" s="1"/>
  <c r="Q6" i="9"/>
  <c r="AK6" i="9" s="1"/>
  <c r="AL6" i="9" s="1"/>
  <c r="V32" i="16"/>
  <c r="U32" i="16" s="1"/>
  <c r="W32" i="16" s="1"/>
  <c r="X32" i="16" s="1"/>
  <c r="V19" i="16"/>
  <c r="U19" i="16" s="1"/>
  <c r="W19" i="16" s="1"/>
  <c r="X19" i="16" s="1"/>
  <c r="CZ14" i="16"/>
  <c r="CW40" i="9"/>
  <c r="CZ15" i="16"/>
  <c r="CW27" i="9"/>
  <c r="CZ33" i="16"/>
  <c r="Q53" i="9"/>
  <c r="AM53" i="9" s="1"/>
  <c r="AN53" i="9" s="1"/>
  <c r="AO53" i="9" s="1"/>
  <c r="Q24" i="9"/>
  <c r="AK24" i="9" s="1"/>
  <c r="AL24" i="9" s="1"/>
  <c r="V28" i="16"/>
  <c r="U28" i="16" s="1"/>
  <c r="W28" i="16" s="1"/>
  <c r="X28" i="16" s="1"/>
  <c r="V17" i="16"/>
  <c r="U17" i="16" s="1"/>
  <c r="W17" i="16" s="1"/>
  <c r="X17" i="16" s="1"/>
  <c r="CW54" i="9"/>
  <c r="CZ30" i="16"/>
  <c r="CZ11" i="16"/>
  <c r="CW38" i="9"/>
  <c r="Q36" i="9"/>
  <c r="T36" i="9" s="1"/>
  <c r="Q7" i="9"/>
  <c r="AK7" i="9" s="1"/>
  <c r="AL7" i="9" s="1"/>
  <c r="V40" i="16"/>
  <c r="U40" i="16" s="1"/>
  <c r="W40" i="16" s="1"/>
  <c r="X40" i="16" s="1"/>
  <c r="V41" i="16"/>
  <c r="U41" i="16" s="1"/>
  <c r="W41" i="16" s="1"/>
  <c r="X41" i="16" s="1"/>
  <c r="B56" i="16"/>
  <c r="B129" i="26" s="1"/>
  <c r="DA16" i="16"/>
  <c r="CZ26" i="16"/>
  <c r="CW13" i="9"/>
  <c r="CZ20" i="16"/>
  <c r="CZ17" i="16"/>
  <c r="Q31" i="9"/>
  <c r="Y31" i="9" s="1"/>
  <c r="Q41" i="9"/>
  <c r="AK41" i="9" s="1"/>
  <c r="AL41" i="9" s="1"/>
  <c r="B137" i="3"/>
  <c r="V37" i="16"/>
  <c r="U37" i="16" s="1"/>
  <c r="W37" i="16" s="1"/>
  <c r="R37" i="16" s="1"/>
  <c r="V29" i="16"/>
  <c r="U29" i="16" s="1"/>
  <c r="W29" i="16" s="1"/>
  <c r="X29" i="16" s="1"/>
  <c r="V36" i="16"/>
  <c r="U36" i="16" s="1"/>
  <c r="W36" i="16" s="1"/>
  <c r="X36" i="16" s="1"/>
  <c r="V33" i="16"/>
  <c r="U33" i="16" s="1"/>
  <c r="W33" i="16" s="1"/>
  <c r="X33" i="16" s="1"/>
  <c r="V23" i="16"/>
  <c r="U23" i="16" s="1"/>
  <c r="W23" i="16" s="1"/>
  <c r="X23" i="16" s="1"/>
  <c r="DA42" i="16"/>
  <c r="CW18" i="9"/>
  <c r="CZ21" i="16"/>
  <c r="CZ10" i="16"/>
  <c r="CW24" i="9"/>
  <c r="CW14" i="9"/>
  <c r="CZ47" i="16"/>
  <c r="CW42" i="9"/>
  <c r="CW41" i="9"/>
  <c r="CW47" i="9"/>
  <c r="CW11" i="9"/>
  <c r="CZ19" i="16"/>
  <c r="CZ12" i="16"/>
  <c r="F17" i="9"/>
  <c r="B123" i="9" s="1"/>
  <c r="Q54" i="9"/>
  <c r="AK54" i="9" s="1"/>
  <c r="AL54" i="9" s="1"/>
  <c r="Q21" i="9"/>
  <c r="S21" i="9" s="1"/>
  <c r="CA21" i="9" s="1"/>
  <c r="Q12" i="9"/>
  <c r="AK12" i="9" s="1"/>
  <c r="AL12" i="9" s="1"/>
  <c r="F19" i="9"/>
  <c r="B122" i="9" s="1"/>
  <c r="D122" i="9" s="1"/>
  <c r="Q19" i="9"/>
  <c r="AK19" i="9" s="1"/>
  <c r="AL19" i="9" s="1"/>
  <c r="Q4" i="9"/>
  <c r="T4" i="9" s="1"/>
  <c r="V47" i="16"/>
  <c r="U47" i="16" s="1"/>
  <c r="W47" i="16" s="1"/>
  <c r="X47" i="16" s="1"/>
  <c r="V6" i="16"/>
  <c r="U6" i="16" s="1"/>
  <c r="W6" i="16" s="1"/>
  <c r="X6" i="16" s="1"/>
  <c r="CW49" i="9"/>
  <c r="CW12" i="9"/>
  <c r="CZ43" i="16"/>
  <c r="CZ22" i="16"/>
  <c r="Q49" i="9"/>
  <c r="S49" i="9" s="1"/>
  <c r="CA49" i="9" s="1"/>
  <c r="Q50" i="9"/>
  <c r="AK50" i="9" s="1"/>
  <c r="AL50" i="9" s="1"/>
  <c r="Q47" i="9"/>
  <c r="Y47" i="9" s="1"/>
  <c r="V15" i="16"/>
  <c r="U15" i="16" s="1"/>
  <c r="W15" i="16" s="1"/>
  <c r="X15" i="16" s="1"/>
  <c r="V49" i="16"/>
  <c r="U49" i="16" s="1"/>
  <c r="W49" i="16" s="1"/>
  <c r="X49" i="16" s="1"/>
  <c r="CZ42" i="16"/>
  <c r="CW45" i="9"/>
  <c r="CZ36" i="16"/>
  <c r="CZ6" i="16"/>
  <c r="Q17" i="9"/>
  <c r="AK17" i="9" s="1"/>
  <c r="AL17" i="9" s="1"/>
  <c r="Q18" i="9"/>
  <c r="AK18" i="9" s="1"/>
  <c r="AL18" i="9" s="1"/>
  <c r="V51" i="16"/>
  <c r="U51" i="16" s="1"/>
  <c r="W51" i="16" s="1"/>
  <c r="X51" i="16" s="1"/>
  <c r="V45" i="16"/>
  <c r="U45" i="16" s="1"/>
  <c r="W45" i="16" s="1"/>
  <c r="X45" i="16" s="1"/>
  <c r="CZ34" i="16"/>
  <c r="CZ7" i="16"/>
  <c r="CW23" i="9"/>
  <c r="CZ25" i="16"/>
  <c r="Q39" i="9"/>
  <c r="AK39" i="9" s="1"/>
  <c r="AL39" i="9" s="1"/>
  <c r="F18" i="9"/>
  <c r="B121" i="9" s="1"/>
  <c r="D121" i="9" s="1"/>
  <c r="V10" i="16"/>
  <c r="U10" i="16" s="1"/>
  <c r="W10" i="16" s="1"/>
  <c r="X10" i="16" s="1"/>
  <c r="V46" i="16"/>
  <c r="U46" i="16" s="1"/>
  <c r="W46" i="16" s="1"/>
  <c r="X46" i="16" s="1"/>
  <c r="CW46" i="9"/>
  <c r="CW32" i="9"/>
  <c r="CW4" i="9"/>
  <c r="CW22" i="9"/>
  <c r="Q35" i="9"/>
  <c r="AK35" i="9" s="1"/>
  <c r="AL35" i="9" s="1"/>
  <c r="Q28" i="9"/>
  <c r="AK28" i="9" s="1"/>
  <c r="AL28" i="9" s="1"/>
  <c r="Q26" i="9"/>
  <c r="AK26" i="9" s="1"/>
  <c r="AL26" i="9" s="1"/>
  <c r="B100" i="3"/>
  <c r="V25" i="16"/>
  <c r="U25" i="16" s="1"/>
  <c r="W25" i="16" s="1"/>
  <c r="X25" i="16" s="1"/>
  <c r="V24" i="16"/>
  <c r="U24" i="16" s="1"/>
  <c r="W24" i="16" s="1"/>
  <c r="X24" i="16" s="1"/>
  <c r="V13" i="16"/>
  <c r="U13" i="16" s="1"/>
  <c r="W13" i="16" s="1"/>
  <c r="X13" i="16" s="1"/>
  <c r="V31" i="16"/>
  <c r="U31" i="16" s="1"/>
  <c r="W31" i="16" s="1"/>
  <c r="X31" i="16" s="1"/>
  <c r="V18" i="16"/>
  <c r="U18" i="16" s="1"/>
  <c r="W18" i="16" s="1"/>
  <c r="X18" i="16" s="1"/>
  <c r="V22" i="16"/>
  <c r="U22" i="16" s="1"/>
  <c r="W22" i="16" s="1"/>
  <c r="X22" i="16" s="1"/>
  <c r="CZ35" i="16"/>
  <c r="CZ13" i="16"/>
  <c r="CW52" i="9"/>
  <c r="CW20" i="9"/>
  <c r="CZ51" i="16"/>
  <c r="CZ39" i="16"/>
  <c r="CW26" i="9"/>
  <c r="CW17" i="9"/>
  <c r="CW39" i="9"/>
  <c r="CW7" i="9"/>
  <c r="CZ24" i="16"/>
  <c r="CW43" i="9"/>
  <c r="Q34" i="9"/>
  <c r="Y34" i="9" s="1"/>
  <c r="Q46" i="9"/>
  <c r="AA46" i="9" s="1"/>
  <c r="AB46" i="9" s="1"/>
  <c r="Q13" i="9"/>
  <c r="AK13" i="9" s="1"/>
  <c r="AL13" i="9" s="1"/>
  <c r="Q43" i="9"/>
  <c r="AK43" i="9" s="1"/>
  <c r="AL43" i="9" s="1"/>
  <c r="Q48" i="9"/>
  <c r="AK48" i="9" s="1"/>
  <c r="AL48" i="9" s="1"/>
  <c r="Q42" i="9"/>
  <c r="AK42" i="9" s="1"/>
  <c r="AL42" i="9" s="1"/>
  <c r="Q38" i="9"/>
  <c r="AK38" i="9" s="1"/>
  <c r="AL38" i="9" s="1"/>
  <c r="CF10" i="2"/>
  <c r="BX47" i="2"/>
  <c r="CE47" i="2" s="1"/>
  <c r="BX14" i="2"/>
  <c r="CE14" i="2" s="1"/>
  <c r="R23" i="2"/>
  <c r="CH23" i="2" s="1"/>
  <c r="R10" i="2"/>
  <c r="CH10" i="2" s="1"/>
  <c r="CF28" i="2"/>
  <c r="CF23" i="2"/>
  <c r="BX8" i="2"/>
  <c r="CE8" i="2" s="1"/>
  <c r="R27" i="2"/>
  <c r="CH27" i="2" s="1"/>
  <c r="CF34" i="2"/>
  <c r="BX43" i="2"/>
  <c r="CE43" i="2" s="1"/>
  <c r="CF27" i="2"/>
  <c r="BX18" i="2"/>
  <c r="CE18" i="2" s="1"/>
  <c r="BX11" i="2"/>
  <c r="CE11" i="2" s="1"/>
  <c r="BX42" i="2"/>
  <c r="CE42" i="2" s="1"/>
  <c r="BX31" i="2"/>
  <c r="CE31" i="2" s="1"/>
  <c r="CF53" i="2"/>
  <c r="BX25" i="2"/>
  <c r="CE25" i="2" s="1"/>
  <c r="B75" i="3"/>
  <c r="J75" i="3"/>
  <c r="M75" i="3" s="1"/>
  <c r="BL28" i="8" s="1"/>
  <c r="CK29" i="16"/>
  <c r="CA29" i="16"/>
  <c r="CI29" i="16" s="1"/>
  <c r="CJ29" i="16"/>
  <c r="CK27" i="16"/>
  <c r="CA27" i="16"/>
  <c r="CI27" i="16" s="1"/>
  <c r="CJ27" i="16"/>
  <c r="CK7" i="16"/>
  <c r="CA7" i="16"/>
  <c r="CI7" i="16" s="1"/>
  <c r="CJ7" i="16"/>
  <c r="CK26" i="16"/>
  <c r="CA26" i="16"/>
  <c r="CI26" i="16" s="1"/>
  <c r="CJ26" i="16"/>
  <c r="CK43" i="16"/>
  <c r="CA43" i="16"/>
  <c r="CI43" i="16" s="1"/>
  <c r="CJ43" i="16"/>
  <c r="CK39" i="16"/>
  <c r="CA39" i="16"/>
  <c r="CI39" i="16" s="1"/>
  <c r="CJ39" i="16"/>
  <c r="CK47" i="16"/>
  <c r="CA47" i="16"/>
  <c r="CI47" i="16" s="1"/>
  <c r="CJ47" i="16"/>
  <c r="CK21" i="16"/>
  <c r="CA21" i="16"/>
  <c r="CI21" i="16" s="1"/>
  <c r="CJ21" i="16"/>
  <c r="CK24" i="16"/>
  <c r="CA24" i="16"/>
  <c r="CI24" i="16" s="1"/>
  <c r="CJ24" i="16"/>
  <c r="CK35" i="16"/>
  <c r="CA35" i="16"/>
  <c r="CI35" i="16" s="1"/>
  <c r="CJ35" i="16"/>
  <c r="CK23" i="16"/>
  <c r="CA23" i="16"/>
  <c r="CI23" i="16" s="1"/>
  <c r="CJ23" i="16"/>
  <c r="CK52" i="16"/>
  <c r="CA52" i="16"/>
  <c r="CI52" i="16" s="1"/>
  <c r="CJ52" i="16"/>
  <c r="CK44" i="16"/>
  <c r="CA44" i="16"/>
  <c r="CI44" i="16" s="1"/>
  <c r="CJ44" i="16"/>
  <c r="CK36" i="16"/>
  <c r="CA36" i="16"/>
  <c r="CI36" i="16" s="1"/>
  <c r="CJ36" i="16"/>
  <c r="O9" i="2"/>
  <c r="N13" i="2"/>
  <c r="O24" i="2"/>
  <c r="N4" i="2"/>
  <c r="O15" i="2"/>
  <c r="O35" i="2"/>
  <c r="P52" i="2"/>
  <c r="BM43" i="8"/>
  <c r="CR26" i="2"/>
  <c r="P18" i="2"/>
  <c r="CR54" i="2"/>
  <c r="P21" i="2"/>
  <c r="N26" i="2"/>
  <c r="P5" i="2"/>
  <c r="N6" i="2"/>
  <c r="O21" i="2"/>
  <c r="B40" i="2"/>
  <c r="B96" i="22" s="1"/>
  <c r="N37" i="2"/>
  <c r="N43" i="2"/>
  <c r="Y10" i="2"/>
  <c r="P27" i="2"/>
  <c r="O38" i="2"/>
  <c r="O42" i="2"/>
  <c r="O22" i="2"/>
  <c r="O28" i="2"/>
  <c r="N47" i="2"/>
  <c r="N10" i="2"/>
  <c r="N27" i="2"/>
  <c r="N52" i="2"/>
  <c r="P7" i="2"/>
  <c r="N15" i="2"/>
  <c r="P30" i="2"/>
  <c r="N46" i="2"/>
  <c r="P34" i="2"/>
  <c r="P15" i="2"/>
  <c r="O53" i="2"/>
  <c r="O19" i="2"/>
  <c r="P36" i="2"/>
  <c r="O16" i="2"/>
  <c r="O40" i="2"/>
  <c r="P48" i="2"/>
  <c r="P14" i="2"/>
  <c r="N30" i="2"/>
  <c r="F27" i="2"/>
  <c r="BM7" i="8"/>
  <c r="N21" i="2"/>
  <c r="P23" i="2"/>
  <c r="N45" i="2"/>
  <c r="P45" i="2"/>
  <c r="N50" i="2"/>
  <c r="P8" i="2"/>
  <c r="N16" i="2"/>
  <c r="P25" i="2"/>
  <c r="O33" i="2"/>
  <c r="BQ44" i="8"/>
  <c r="N49" i="2"/>
  <c r="P10" i="2"/>
  <c r="N17" i="2"/>
  <c r="P37" i="2"/>
  <c r="N42" i="2"/>
  <c r="O51" i="2"/>
  <c r="N8" i="2"/>
  <c r="P17" i="2"/>
  <c r="O25" i="2"/>
  <c r="P42" i="2"/>
  <c r="P31" i="2"/>
  <c r="N25" i="2"/>
  <c r="O20" i="2"/>
  <c r="O26" i="2"/>
  <c r="P32" i="2"/>
  <c r="N40" i="2"/>
  <c r="P49" i="2"/>
  <c r="P6" i="2"/>
  <c r="N14" i="2"/>
  <c r="BQ48" i="8"/>
  <c r="N29" i="2"/>
  <c r="P26" i="2"/>
  <c r="N20" i="2"/>
  <c r="P50" i="2"/>
  <c r="N23" i="2"/>
  <c r="O29" i="2"/>
  <c r="P38" i="2"/>
  <c r="O46" i="2"/>
  <c r="N54" i="2"/>
  <c r="P12" i="2"/>
  <c r="BQ4" i="8"/>
  <c r="BQ38" i="8"/>
  <c r="BQ21" i="8"/>
  <c r="BQ14" i="8"/>
  <c r="BQ39" i="8"/>
  <c r="BQ37" i="8"/>
  <c r="BQ13" i="8"/>
  <c r="BQ11" i="8"/>
  <c r="Y45" i="2"/>
  <c r="BQ16" i="8"/>
  <c r="BM44" i="8"/>
  <c r="BQ29" i="8"/>
  <c r="CR42" i="2"/>
  <c r="BM41" i="8"/>
  <c r="AV27" i="2"/>
  <c r="AZ27" i="2" s="1"/>
  <c r="BM23" i="8"/>
  <c r="BM30" i="8"/>
  <c r="R8" i="2"/>
  <c r="CR11" i="2"/>
  <c r="R15" i="2"/>
  <c r="BM12" i="8"/>
  <c r="Y41" i="2"/>
  <c r="BM15" i="8"/>
  <c r="BM35" i="8"/>
  <c r="BM17" i="8"/>
  <c r="BM40" i="8"/>
  <c r="BM29" i="8"/>
  <c r="BM8" i="8"/>
  <c r="BM48" i="8"/>
  <c r="BM54" i="8"/>
  <c r="BM32" i="8"/>
  <c r="F25" i="2"/>
  <c r="BM46" i="8"/>
  <c r="BM49" i="8"/>
  <c r="BM51" i="8"/>
  <c r="BM13" i="8"/>
  <c r="BM27" i="8"/>
  <c r="BM25" i="8"/>
  <c r="G76" i="3"/>
  <c r="M76" i="3" s="1"/>
  <c r="BN20" i="8" s="1"/>
  <c r="P19" i="2"/>
  <c r="P11" i="2"/>
  <c r="O8" i="2"/>
  <c r="N33" i="2"/>
  <c r="O12" i="2"/>
  <c r="P35" i="2"/>
  <c r="O32" i="2"/>
  <c r="N39" i="2"/>
  <c r="O18" i="2"/>
  <c r="O45" i="2"/>
  <c r="P24" i="2"/>
  <c r="P54" i="2"/>
  <c r="N32" i="2"/>
  <c r="O11" i="2"/>
  <c r="P41" i="2"/>
  <c r="N19" i="2"/>
  <c r="O49" i="2"/>
  <c r="P28" i="2"/>
  <c r="O6" i="2"/>
  <c r="BM39" i="8"/>
  <c r="BM45" i="8"/>
  <c r="BM24" i="8"/>
  <c r="BM38" i="8"/>
  <c r="P4" i="2"/>
  <c r="BM53" i="8"/>
  <c r="BM50" i="8"/>
  <c r="BM36" i="8"/>
  <c r="BM6" i="8"/>
  <c r="BM37" i="8"/>
  <c r="BM21" i="8"/>
  <c r="O47" i="2"/>
  <c r="N44" i="2"/>
  <c r="N41" i="2"/>
  <c r="N53" i="2"/>
  <c r="O5" i="2"/>
  <c r="N12" i="2"/>
  <c r="N9" i="2"/>
  <c r="O34" i="2"/>
  <c r="P13" i="2"/>
  <c r="P40" i="2"/>
  <c r="N18" i="2"/>
  <c r="N48" i="2"/>
  <c r="O27" i="2"/>
  <c r="N5" i="2"/>
  <c r="N35" i="2"/>
  <c r="O14" i="2"/>
  <c r="P44" i="2"/>
  <c r="N22" i="2"/>
  <c r="BM18" i="8"/>
  <c r="BM11" i="8"/>
  <c r="BM26" i="8"/>
  <c r="B76" i="3"/>
  <c r="O4" i="2"/>
  <c r="BM4" i="8"/>
  <c r="BM47" i="8"/>
  <c r="BM31" i="8"/>
  <c r="BM5" i="8"/>
  <c r="BM34" i="8"/>
  <c r="BM20" i="8"/>
  <c r="J77" i="3"/>
  <c r="BO16" i="8" s="1"/>
  <c r="O52" i="2"/>
  <c r="O44" i="2"/>
  <c r="O39" i="2"/>
  <c r="N36" i="2"/>
  <c r="O48" i="2"/>
  <c r="P51" i="2"/>
  <c r="O7" i="2"/>
  <c r="P53" i="2"/>
  <c r="N31" i="2"/>
  <c r="O10" i="2"/>
  <c r="O37" i="2"/>
  <c r="P16" i="2"/>
  <c r="P46" i="2"/>
  <c r="N24" i="2"/>
  <c r="O54" i="2"/>
  <c r="P33" i="2"/>
  <c r="N11" i="2"/>
  <c r="O41" i="2"/>
  <c r="P20" i="2"/>
  <c r="CR33" i="2"/>
  <c r="BM52" i="8"/>
  <c r="BM10" i="8"/>
  <c r="BM22" i="8"/>
  <c r="F26" i="2"/>
  <c r="B23" i="22" s="1"/>
  <c r="BM9" i="8"/>
  <c r="BM19" i="8"/>
  <c r="BM42" i="8"/>
  <c r="BM14" i="8"/>
  <c r="BM28" i="8"/>
  <c r="BM33" i="8"/>
  <c r="B77" i="3"/>
  <c r="P47" i="2"/>
  <c r="P39" i="2"/>
  <c r="O36" i="2"/>
  <c r="O31" i="2"/>
  <c r="P43" i="2"/>
  <c r="O23" i="2"/>
  <c r="N28" i="2"/>
  <c r="O50" i="2"/>
  <c r="P29" i="2"/>
  <c r="N7" i="2"/>
  <c r="N34" i="2"/>
  <c r="O13" i="2"/>
  <c r="O43" i="2"/>
  <c r="P22" i="2"/>
  <c r="N51" i="2"/>
  <c r="O30" i="2"/>
  <c r="P9" i="2"/>
  <c r="N38" i="2"/>
  <c r="CR53" i="2"/>
  <c r="R9" i="2"/>
  <c r="AB29" i="2"/>
  <c r="BQ49" i="8"/>
  <c r="BQ23" i="8"/>
  <c r="BQ7" i="8"/>
  <c r="R19" i="2"/>
  <c r="CR21" i="2"/>
  <c r="CR8" i="2"/>
  <c r="CR37" i="2"/>
  <c r="R34" i="2"/>
  <c r="CR50" i="2"/>
  <c r="CR43" i="2"/>
  <c r="CR32" i="2"/>
  <c r="BQ32" i="8"/>
  <c r="BQ40" i="8"/>
  <c r="BQ10" i="8"/>
  <c r="CR38" i="2"/>
  <c r="CR44" i="2"/>
  <c r="CR13" i="2"/>
  <c r="R11" i="2"/>
  <c r="AV5" i="2"/>
  <c r="AW5" i="2" s="1"/>
  <c r="AX5" i="2" s="1"/>
  <c r="BQ53" i="8"/>
  <c r="BQ30" i="8"/>
  <c r="BQ28" i="8"/>
  <c r="BQ6" i="8"/>
  <c r="R48" i="2"/>
  <c r="CR24" i="2"/>
  <c r="CR10" i="2"/>
  <c r="CR36" i="2"/>
  <c r="Y31" i="2"/>
  <c r="BQ51" i="8"/>
  <c r="BQ45" i="8"/>
  <c r="BQ43" i="8"/>
  <c r="G78" i="3"/>
  <c r="M78" i="3" s="1"/>
  <c r="BR54" i="8" s="1"/>
  <c r="CR17" i="2"/>
  <c r="CR7" i="2"/>
  <c r="CR49" i="2"/>
  <c r="CR52" i="2"/>
  <c r="CR34" i="2"/>
  <c r="CR40" i="2"/>
  <c r="R39" i="2"/>
  <c r="CR6" i="2"/>
  <c r="CR27" i="2"/>
  <c r="CR45" i="2"/>
  <c r="CR9" i="2"/>
  <c r="CR47" i="2"/>
  <c r="CR16" i="2"/>
  <c r="R28" i="2"/>
  <c r="BQ25" i="8"/>
  <c r="BQ31" i="8"/>
  <c r="BQ24" i="8"/>
  <c r="BQ33" i="8"/>
  <c r="BQ20" i="8"/>
  <c r="BQ9" i="8"/>
  <c r="CR30" i="2"/>
  <c r="CR48" i="2"/>
  <c r="CR5" i="2"/>
  <c r="R22" i="2"/>
  <c r="CR19" i="2"/>
  <c r="CR25" i="2"/>
  <c r="CR15" i="2"/>
  <c r="CR20" i="2"/>
  <c r="CR51" i="2"/>
  <c r="CR31" i="2"/>
  <c r="CR22" i="2"/>
  <c r="BQ47" i="8"/>
  <c r="BQ54" i="8"/>
  <c r="BQ36" i="8"/>
  <c r="BQ22" i="8"/>
  <c r="BQ27" i="8"/>
  <c r="BQ12" i="8"/>
  <c r="BQ5" i="8"/>
  <c r="CR46" i="2"/>
  <c r="CR29" i="2"/>
  <c r="CR4" i="2"/>
  <c r="CR12" i="2"/>
  <c r="R53" i="2"/>
  <c r="R18" i="2"/>
  <c r="CR39" i="2"/>
  <c r="CR18" i="2"/>
  <c r="CR14" i="2"/>
  <c r="BQ46" i="8"/>
  <c r="BQ42" i="8"/>
  <c r="BQ35" i="8"/>
  <c r="BQ15" i="8"/>
  <c r="BQ26" i="8"/>
  <c r="BQ18" i="8"/>
  <c r="BQ8" i="8"/>
  <c r="B78" i="3"/>
  <c r="R50" i="2"/>
  <c r="R54" i="2"/>
  <c r="R51" i="2"/>
  <c r="CR35" i="2"/>
  <c r="CR41" i="2"/>
  <c r="AV25" i="2"/>
  <c r="AZ25" i="2" s="1"/>
  <c r="CR23" i="2"/>
  <c r="BQ50" i="8"/>
  <c r="BQ41" i="8"/>
  <c r="BQ34" i="8"/>
  <c r="BQ52" i="8"/>
  <c r="BQ19" i="8"/>
  <c r="R41" i="2"/>
  <c r="CR28" i="2"/>
  <c r="R32" i="2"/>
  <c r="R35" i="2"/>
  <c r="R6" i="2"/>
  <c r="AC13" i="2"/>
  <c r="R24" i="2"/>
  <c r="R20" i="2"/>
  <c r="R12" i="2"/>
  <c r="R26" i="2"/>
  <c r="AV42" i="2"/>
  <c r="BA42" i="2" s="1"/>
  <c r="BB42" i="2" s="1"/>
  <c r="R42" i="2"/>
  <c r="R25" i="2"/>
  <c r="R46" i="2"/>
  <c r="BX54" i="8"/>
  <c r="CE54" i="8" s="1"/>
  <c r="R54" i="8"/>
  <c r="AV44" i="2"/>
  <c r="AW44" i="2" s="1"/>
  <c r="AX44" i="2" s="1"/>
  <c r="R14" i="2"/>
  <c r="R16" i="2"/>
  <c r="R44" i="2"/>
  <c r="R30" i="2"/>
  <c r="R33" i="2"/>
  <c r="R43" i="2"/>
  <c r="R40" i="2"/>
  <c r="R38" i="2"/>
  <c r="AB47" i="2"/>
  <c r="R7" i="2"/>
  <c r="R52" i="2"/>
  <c r="R36" i="2"/>
  <c r="R17" i="2"/>
  <c r="R47" i="2"/>
  <c r="R37" i="2"/>
  <c r="R31" i="2"/>
  <c r="R49" i="2"/>
  <c r="R13" i="2"/>
  <c r="BQ38" i="9"/>
  <c r="BY38" i="9" s="1"/>
  <c r="BZ38" i="9"/>
  <c r="BQ27" i="9"/>
  <c r="BY27" i="9" s="1"/>
  <c r="BZ27" i="9"/>
  <c r="BQ15" i="9"/>
  <c r="BY15" i="9" s="1"/>
  <c r="BZ15" i="9"/>
  <c r="BQ48" i="9"/>
  <c r="BY48" i="9" s="1"/>
  <c r="BZ48" i="9"/>
  <c r="BQ47" i="9"/>
  <c r="BY47" i="9" s="1"/>
  <c r="BZ47" i="9"/>
  <c r="BQ6" i="9"/>
  <c r="BY6" i="9" s="1"/>
  <c r="BZ6" i="9"/>
  <c r="BQ34" i="9"/>
  <c r="BY34" i="9" s="1"/>
  <c r="BZ34" i="9"/>
  <c r="BQ14" i="9"/>
  <c r="BY14" i="9" s="1"/>
  <c r="BZ14" i="9"/>
  <c r="BQ19" i="9"/>
  <c r="BY19" i="9" s="1"/>
  <c r="BZ19" i="9"/>
  <c r="BQ41" i="9"/>
  <c r="BY41" i="9" s="1"/>
  <c r="BZ41" i="9"/>
  <c r="BQ40" i="9"/>
  <c r="BY40" i="9" s="1"/>
  <c r="BZ40" i="9"/>
  <c r="BQ52" i="9"/>
  <c r="BY52" i="9" s="1"/>
  <c r="BZ52" i="9"/>
  <c r="BQ53" i="9"/>
  <c r="BY53" i="9" s="1"/>
  <c r="BZ53" i="9"/>
  <c r="BQ18" i="9"/>
  <c r="BY18" i="9" s="1"/>
  <c r="BZ18" i="9"/>
  <c r="BQ28" i="9"/>
  <c r="BY28" i="9" s="1"/>
  <c r="BZ28" i="9"/>
  <c r="BQ21" i="9"/>
  <c r="BY21" i="9" s="1"/>
  <c r="BZ21" i="9"/>
  <c r="BQ23" i="9"/>
  <c r="BY23" i="9" s="1"/>
  <c r="BZ23" i="9"/>
  <c r="BQ13" i="9"/>
  <c r="BY13" i="9" s="1"/>
  <c r="BZ13" i="9"/>
  <c r="BQ29" i="9"/>
  <c r="BY29" i="9" s="1"/>
  <c r="BZ29" i="9"/>
  <c r="BQ10" i="9"/>
  <c r="BY10" i="9" s="1"/>
  <c r="BZ10" i="9"/>
  <c r="BQ11" i="9"/>
  <c r="BY11" i="9" s="1"/>
  <c r="BZ11" i="9"/>
  <c r="BQ5" i="9"/>
  <c r="BY5" i="9" s="1"/>
  <c r="BZ5" i="9"/>
  <c r="BQ7" i="9"/>
  <c r="BY7" i="9" s="1"/>
  <c r="BZ7" i="9"/>
  <c r="BQ17" i="9"/>
  <c r="BY17" i="9" s="1"/>
  <c r="BZ17" i="9"/>
  <c r="BQ43" i="9"/>
  <c r="BY43" i="9" s="1"/>
  <c r="BZ43" i="9"/>
  <c r="BQ39" i="9"/>
  <c r="BY39" i="9" s="1"/>
  <c r="BZ39" i="9"/>
  <c r="BQ12" i="9"/>
  <c r="BY12" i="9" s="1"/>
  <c r="BZ12" i="9"/>
  <c r="BQ33" i="9"/>
  <c r="BY33" i="9" s="1"/>
  <c r="BZ33" i="9"/>
  <c r="BQ24" i="9"/>
  <c r="BY24" i="9" s="1"/>
  <c r="BZ24" i="9"/>
  <c r="BQ16" i="9"/>
  <c r="BY16" i="9" s="1"/>
  <c r="BZ16" i="9"/>
  <c r="BQ46" i="9"/>
  <c r="BY46" i="9" s="1"/>
  <c r="BZ46" i="9"/>
  <c r="BQ54" i="9"/>
  <c r="BY54" i="9" s="1"/>
  <c r="BZ54" i="9"/>
  <c r="BQ30" i="9"/>
  <c r="BY30" i="9" s="1"/>
  <c r="BZ30" i="9"/>
  <c r="BQ37" i="9"/>
  <c r="BY37" i="9" s="1"/>
  <c r="BZ37" i="9"/>
  <c r="BQ50" i="9"/>
  <c r="BY50" i="9" s="1"/>
  <c r="BZ50" i="9"/>
  <c r="BQ36" i="9"/>
  <c r="BY36" i="9" s="1"/>
  <c r="BZ36" i="9"/>
  <c r="BQ44" i="9"/>
  <c r="BY44" i="9" s="1"/>
  <c r="BZ44" i="9"/>
  <c r="BQ20" i="9"/>
  <c r="BY20" i="9" s="1"/>
  <c r="BZ20" i="9"/>
  <c r="BQ9" i="9"/>
  <c r="BY9" i="9" s="1"/>
  <c r="BZ9" i="9"/>
  <c r="BQ31" i="9"/>
  <c r="BY31" i="9" s="1"/>
  <c r="BZ31" i="9"/>
  <c r="BQ49" i="9"/>
  <c r="BY49" i="9" s="1"/>
  <c r="BZ49" i="9"/>
  <c r="BQ35" i="9"/>
  <c r="BY35" i="9" s="1"/>
  <c r="BZ35" i="9"/>
  <c r="BQ26" i="9"/>
  <c r="BY26" i="9" s="1"/>
  <c r="BZ26" i="9"/>
  <c r="BQ45" i="9"/>
  <c r="BY45" i="9" s="1"/>
  <c r="BZ45" i="9"/>
  <c r="BQ8" i="9"/>
  <c r="BY8" i="9" s="1"/>
  <c r="BZ8" i="9"/>
  <c r="BQ51" i="9"/>
  <c r="BY51" i="9" s="1"/>
  <c r="BZ51" i="9"/>
  <c r="BQ42" i="9"/>
  <c r="BY42" i="9" s="1"/>
  <c r="BZ42" i="9"/>
  <c r="BQ32" i="9"/>
  <c r="BY32" i="9" s="1"/>
  <c r="BZ32" i="9"/>
  <c r="BQ22" i="9"/>
  <c r="BY22" i="9" s="1"/>
  <c r="BZ22" i="9"/>
  <c r="BQ25" i="9"/>
  <c r="BY25" i="9" s="1"/>
  <c r="BZ25" i="9"/>
  <c r="BQ4" i="9"/>
  <c r="BY4" i="9" s="1"/>
  <c r="BZ4" i="9"/>
  <c r="CF38" i="8"/>
  <c r="BX38" i="8"/>
  <c r="CE38" i="8" s="1"/>
  <c r="CF23" i="8"/>
  <c r="BX23" i="8"/>
  <c r="CE23" i="8" s="1"/>
  <c r="CF6" i="8"/>
  <c r="BX6" i="8"/>
  <c r="CE6" i="8" s="1"/>
  <c r="CF17" i="8"/>
  <c r="BX17" i="8"/>
  <c r="CE17" i="8" s="1"/>
  <c r="CF16" i="8"/>
  <c r="BX16" i="8"/>
  <c r="CE16" i="8" s="1"/>
  <c r="CF45" i="8"/>
  <c r="BX45" i="8"/>
  <c r="CE45" i="8" s="1"/>
  <c r="CF18" i="8"/>
  <c r="BX18" i="8"/>
  <c r="CE18" i="8" s="1"/>
  <c r="CF33" i="8"/>
  <c r="BX33" i="8"/>
  <c r="CE33" i="8" s="1"/>
  <c r="CF25" i="8"/>
  <c r="BX25" i="8"/>
  <c r="CE25" i="8" s="1"/>
  <c r="CF44" i="8"/>
  <c r="BX44" i="8"/>
  <c r="CE44" i="8" s="1"/>
  <c r="CF40" i="8"/>
  <c r="BX40" i="8"/>
  <c r="CE40" i="8" s="1"/>
  <c r="CF32" i="8"/>
  <c r="BX32" i="8"/>
  <c r="CE32" i="8" s="1"/>
  <c r="CF13" i="8"/>
  <c r="BX13" i="8"/>
  <c r="CE13" i="8" s="1"/>
  <c r="CF47" i="8"/>
  <c r="BX47" i="8"/>
  <c r="CE47" i="8" s="1"/>
  <c r="CF14" i="8"/>
  <c r="BX14" i="8"/>
  <c r="CE14" i="8" s="1"/>
  <c r="CF42" i="8"/>
  <c r="BX42" i="8"/>
  <c r="CE42" i="8" s="1"/>
  <c r="CF51" i="8"/>
  <c r="BX51" i="8"/>
  <c r="CE51" i="8" s="1"/>
  <c r="CF50" i="8"/>
  <c r="BX50" i="8"/>
  <c r="CE50" i="8" s="1"/>
  <c r="CF19" i="8"/>
  <c r="BX19" i="8"/>
  <c r="CE19" i="8" s="1"/>
  <c r="CF53" i="8"/>
  <c r="BX53" i="8"/>
  <c r="CE53" i="8" s="1"/>
  <c r="CF11" i="8"/>
  <c r="BX11" i="8"/>
  <c r="CE11" i="8" s="1"/>
  <c r="CF35" i="8"/>
  <c r="BX35" i="8"/>
  <c r="CE35" i="8" s="1"/>
  <c r="CF39" i="8"/>
  <c r="BX39" i="8"/>
  <c r="CE39" i="8" s="1"/>
  <c r="CF15" i="8"/>
  <c r="BX15" i="8"/>
  <c r="CE15" i="8" s="1"/>
  <c r="CF37" i="8"/>
  <c r="BX37" i="8"/>
  <c r="CE37" i="8" s="1"/>
  <c r="CF21" i="8"/>
  <c r="BX21" i="8"/>
  <c r="CE21" i="8" s="1"/>
  <c r="CF5" i="8"/>
  <c r="BX5" i="8"/>
  <c r="CE5" i="8" s="1"/>
  <c r="CF43" i="8"/>
  <c r="BX43" i="8"/>
  <c r="CE43" i="8" s="1"/>
  <c r="CF48" i="8"/>
  <c r="BX48" i="8"/>
  <c r="CE48" i="8" s="1"/>
  <c r="CF24" i="8"/>
  <c r="BX24" i="8"/>
  <c r="CE24" i="8" s="1"/>
  <c r="CF27" i="8"/>
  <c r="BX27" i="8"/>
  <c r="CE27" i="8" s="1"/>
  <c r="CF41" i="8"/>
  <c r="BX41" i="8"/>
  <c r="CE41" i="8" s="1"/>
  <c r="CF30" i="8"/>
  <c r="BX30" i="8"/>
  <c r="CE30" i="8" s="1"/>
  <c r="CF52" i="8"/>
  <c r="BX52" i="8"/>
  <c r="CE52" i="8" s="1"/>
  <c r="CF7" i="8"/>
  <c r="BX7" i="8"/>
  <c r="CE7" i="8" s="1"/>
  <c r="CF26" i="8"/>
  <c r="BX26" i="8"/>
  <c r="CE26" i="8" s="1"/>
  <c r="CF34" i="8"/>
  <c r="BX34" i="8"/>
  <c r="CE34" i="8" s="1"/>
  <c r="CF12" i="8"/>
  <c r="BX12" i="8"/>
  <c r="CE12" i="8" s="1"/>
  <c r="CF49" i="8"/>
  <c r="BX49" i="8"/>
  <c r="CE49" i="8" s="1"/>
  <c r="CF9" i="8"/>
  <c r="BX9" i="8"/>
  <c r="CE9" i="8" s="1"/>
  <c r="CF46" i="8"/>
  <c r="BX46" i="8"/>
  <c r="CE46" i="8" s="1"/>
  <c r="CF10" i="8"/>
  <c r="BX10" i="8"/>
  <c r="CE10" i="8" s="1"/>
  <c r="CF36" i="8"/>
  <c r="BX36" i="8"/>
  <c r="CE36" i="8" s="1"/>
  <c r="R20" i="8"/>
  <c r="CH20" i="8" s="1"/>
  <c r="CF20" i="8"/>
  <c r="CF4" i="8"/>
  <c r="R29" i="8"/>
  <c r="CH29" i="8" s="1"/>
  <c r="CF29" i="8"/>
  <c r="R31" i="8"/>
  <c r="CH31" i="8" s="1"/>
  <c r="CF31" i="8"/>
  <c r="CF54" i="8"/>
  <c r="R8" i="8"/>
  <c r="CH8" i="8" s="1"/>
  <c r="CF8" i="8"/>
  <c r="R22" i="8"/>
  <c r="CH22" i="8" s="1"/>
  <c r="CF22" i="8"/>
  <c r="R28" i="8"/>
  <c r="CH28" i="8" s="1"/>
  <c r="CF28" i="8"/>
  <c r="R27" i="8"/>
  <c r="CH27" i="8" s="1"/>
  <c r="R47" i="8"/>
  <c r="CH47" i="8" s="1"/>
  <c r="R19" i="8"/>
  <c r="CH19" i="8" s="1"/>
  <c r="R41" i="8"/>
  <c r="CH41" i="8" s="1"/>
  <c r="R14" i="8"/>
  <c r="CH14" i="8" s="1"/>
  <c r="R48" i="8"/>
  <c r="CH48" i="8" s="1"/>
  <c r="R24" i="8"/>
  <c r="CH24" i="8" s="1"/>
  <c r="R33" i="8"/>
  <c r="CH33" i="8" s="1"/>
  <c r="R25" i="8"/>
  <c r="CH25" i="8" s="1"/>
  <c r="R44" i="8"/>
  <c r="CH44" i="8" s="1"/>
  <c r="R32" i="8"/>
  <c r="CH32" i="8" s="1"/>
  <c r="R37" i="8"/>
  <c r="CH37" i="8" s="1"/>
  <c r="R46" i="8"/>
  <c r="CH46" i="8" s="1"/>
  <c r="R38" i="8"/>
  <c r="CH38" i="8" s="1"/>
  <c r="R23" i="8"/>
  <c r="CH23" i="8" s="1"/>
  <c r="R6" i="8"/>
  <c r="CH6" i="8" s="1"/>
  <c r="R17" i="8"/>
  <c r="CH17" i="8" s="1"/>
  <c r="R16" i="8"/>
  <c r="CH16" i="8" s="1"/>
  <c r="R45" i="8"/>
  <c r="CH45" i="8" s="1"/>
  <c r="R18" i="8"/>
  <c r="CH18" i="8" s="1"/>
  <c r="AV12" i="8"/>
  <c r="BA12" i="8" s="1"/>
  <c r="BB12" i="8" s="1"/>
  <c r="R15" i="8"/>
  <c r="CH15" i="8" s="1"/>
  <c r="R21" i="8"/>
  <c r="CH21" i="8" s="1"/>
  <c r="R9" i="8"/>
  <c r="CH9" i="8" s="1"/>
  <c r="R10" i="8"/>
  <c r="CH10" i="8" s="1"/>
  <c r="R36" i="8"/>
  <c r="CH36" i="8" s="1"/>
  <c r="R40" i="8"/>
  <c r="CH40" i="8" s="1"/>
  <c r="R13" i="8"/>
  <c r="CH13" i="8" s="1"/>
  <c r="Y21" i="8"/>
  <c r="R43" i="8"/>
  <c r="CH43" i="8" s="1"/>
  <c r="X38" i="8"/>
  <c r="AA38" i="8" s="1"/>
  <c r="R42" i="8"/>
  <c r="CH42" i="8" s="1"/>
  <c r="R30" i="8"/>
  <c r="CH30" i="8" s="1"/>
  <c r="R53" i="8"/>
  <c r="CH53" i="8" s="1"/>
  <c r="R52" i="8"/>
  <c r="CH52" i="8" s="1"/>
  <c r="R11" i="8"/>
  <c r="CH11" i="8" s="1"/>
  <c r="R7" i="8"/>
  <c r="CH7" i="8" s="1"/>
  <c r="AB15" i="8"/>
  <c r="R5" i="8"/>
  <c r="CH5" i="8" s="1"/>
  <c r="Y9" i="8"/>
  <c r="AV6" i="8"/>
  <c r="BC6" i="8" s="1"/>
  <c r="BD6" i="8" s="1"/>
  <c r="Y23" i="8"/>
  <c r="X36" i="8"/>
  <c r="AA36" i="8" s="1"/>
  <c r="R26" i="8"/>
  <c r="CH26" i="8" s="1"/>
  <c r="R51" i="8"/>
  <c r="CH51" i="8" s="1"/>
  <c r="BX4" i="8"/>
  <c r="CE4" i="8" s="1"/>
  <c r="R4" i="8"/>
  <c r="R34" i="8"/>
  <c r="CH34" i="8" s="1"/>
  <c r="R35" i="8"/>
  <c r="CH35" i="8" s="1"/>
  <c r="R12" i="8"/>
  <c r="CH12" i="8" s="1"/>
  <c r="R50" i="8"/>
  <c r="CH50" i="8" s="1"/>
  <c r="R39" i="8"/>
  <c r="CH39" i="8" s="1"/>
  <c r="R49" i="8"/>
  <c r="CH49" i="8" s="1"/>
  <c r="BX4" i="2"/>
  <c r="CE4" i="2" s="1"/>
  <c r="BX37" i="2"/>
  <c r="CE37" i="2" s="1"/>
  <c r="BX22" i="2"/>
  <c r="CE22" i="2" s="1"/>
  <c r="BX30" i="2"/>
  <c r="CE30" i="2" s="1"/>
  <c r="BX24" i="2"/>
  <c r="CE24" i="2" s="1"/>
  <c r="BX46" i="2"/>
  <c r="CE46" i="2" s="1"/>
  <c r="BX48" i="2"/>
  <c r="CE48" i="2" s="1"/>
  <c r="BX32" i="2"/>
  <c r="CE32" i="2" s="1"/>
  <c r="BX20" i="2"/>
  <c r="CE20" i="2" s="1"/>
  <c r="BX19" i="2"/>
  <c r="CE19" i="2" s="1"/>
  <c r="BX26" i="2"/>
  <c r="CE26" i="2" s="1"/>
  <c r="BX36" i="2"/>
  <c r="CE36" i="2" s="1"/>
  <c r="BX12" i="2"/>
  <c r="CE12" i="2" s="1"/>
  <c r="BX17" i="2"/>
  <c r="CE17" i="2" s="1"/>
  <c r="BX38" i="2"/>
  <c r="CE38" i="2" s="1"/>
  <c r="BX51" i="2"/>
  <c r="CE51" i="2" s="1"/>
  <c r="BX33" i="2"/>
  <c r="CE33" i="2" s="1"/>
  <c r="BX54" i="2"/>
  <c r="CE54" i="2" s="1"/>
  <c r="BX9" i="2"/>
  <c r="CE9" i="2" s="1"/>
  <c r="BX6" i="2"/>
  <c r="CE6" i="2" s="1"/>
  <c r="BX7" i="2"/>
  <c r="CE7" i="2" s="1"/>
  <c r="BA12" i="16"/>
  <c r="AX9" i="16"/>
  <c r="AY9" i="16" s="1"/>
  <c r="Q9" i="16"/>
  <c r="S9" i="16" s="1"/>
  <c r="BB9" i="16"/>
  <c r="BC9" i="16" s="1"/>
  <c r="DA50" i="16"/>
  <c r="BB12" i="16"/>
  <c r="BC12" i="16" s="1"/>
  <c r="DA46" i="16"/>
  <c r="AB49" i="2"/>
  <c r="Q23" i="16"/>
  <c r="DA23" i="16" s="1"/>
  <c r="DA8" i="16"/>
  <c r="DA37" i="16"/>
  <c r="DA49" i="16"/>
  <c r="CV46" i="16"/>
  <c r="DA41" i="16"/>
  <c r="CV42" i="16"/>
  <c r="CV49" i="16"/>
  <c r="CV13" i="16"/>
  <c r="DA13" i="16"/>
  <c r="P11" i="16"/>
  <c r="M11" i="16" s="1"/>
  <c r="AX11" i="16"/>
  <c r="AY11" i="16" s="1"/>
  <c r="CV41" i="16"/>
  <c r="CV16" i="16"/>
  <c r="CV8" i="16"/>
  <c r="DA53" i="16"/>
  <c r="DA38" i="16"/>
  <c r="DA51" i="16"/>
  <c r="CV48" i="16"/>
  <c r="DA48" i="16"/>
  <c r="AW23" i="16"/>
  <c r="BA23" i="16" s="1"/>
  <c r="CV38" i="16"/>
  <c r="CV50" i="16"/>
  <c r="CV51" i="16"/>
  <c r="CV37" i="16"/>
  <c r="DA4" i="16"/>
  <c r="BA15" i="16"/>
  <c r="AX34" i="16"/>
  <c r="AY34" i="16" s="1"/>
  <c r="AW47" i="16"/>
  <c r="BB47" i="16" s="1"/>
  <c r="BC47" i="16" s="1"/>
  <c r="BA9" i="16"/>
  <c r="Q47" i="16"/>
  <c r="BA10" i="16"/>
  <c r="BA19" i="16"/>
  <c r="BD9" i="16"/>
  <c r="BE9" i="16" s="1"/>
  <c r="P9" i="16"/>
  <c r="M9" i="16" s="1"/>
  <c r="P4" i="16"/>
  <c r="M4" i="16" s="1"/>
  <c r="AW4" i="16"/>
  <c r="AX4" i="16" s="1"/>
  <c r="AY4" i="16" s="1"/>
  <c r="BA34" i="16"/>
  <c r="X49" i="2"/>
  <c r="AZ34" i="16"/>
  <c r="P19" i="16"/>
  <c r="M19" i="16" s="1"/>
  <c r="Q19" i="16"/>
  <c r="BB18" i="16"/>
  <c r="BC18" i="16" s="1"/>
  <c r="BD19" i="16"/>
  <c r="BE19" i="16" s="1"/>
  <c r="BB34" i="16"/>
  <c r="BC34" i="16" s="1"/>
  <c r="P34" i="16"/>
  <c r="M34" i="16" s="1"/>
  <c r="AX19" i="16"/>
  <c r="AY19" i="16" s="1"/>
  <c r="Q34" i="16"/>
  <c r="BB19" i="16"/>
  <c r="BC19" i="16" s="1"/>
  <c r="AV4" i="2"/>
  <c r="AW4" i="2" s="1"/>
  <c r="AX4" i="2" s="1"/>
  <c r="S4" i="2"/>
  <c r="P18" i="16"/>
  <c r="M18" i="16" s="1"/>
  <c r="P15" i="16"/>
  <c r="M15" i="16" s="1"/>
  <c r="AZ15" i="16"/>
  <c r="AZ10" i="16"/>
  <c r="BD15" i="16"/>
  <c r="BE15" i="16" s="1"/>
  <c r="Q15" i="16"/>
  <c r="AW38" i="16"/>
  <c r="BA38" i="16" s="1"/>
  <c r="P38" i="16"/>
  <c r="M38" i="16" s="1"/>
  <c r="AZ18" i="16"/>
  <c r="Q10" i="16"/>
  <c r="AX15" i="16"/>
  <c r="AY15" i="16" s="1"/>
  <c r="AW50" i="16"/>
  <c r="AX50" i="16" s="1"/>
  <c r="AY50" i="16" s="1"/>
  <c r="AW53" i="16"/>
  <c r="BB53" i="16" s="1"/>
  <c r="BC53" i="16" s="1"/>
  <c r="AB4" i="2"/>
  <c r="AX18" i="16"/>
  <c r="AY18" i="16" s="1"/>
  <c r="AW21" i="16"/>
  <c r="BB21" i="16" s="1"/>
  <c r="BC21" i="16" s="1"/>
  <c r="BD18" i="16"/>
  <c r="BE18" i="16" s="1"/>
  <c r="P16" i="16"/>
  <c r="M16" i="16" s="1"/>
  <c r="P10" i="16"/>
  <c r="M10" i="16" s="1"/>
  <c r="BD10" i="16"/>
  <c r="BE10" i="16" s="1"/>
  <c r="Q18" i="16"/>
  <c r="AW16" i="16"/>
  <c r="BA16" i="16" s="1"/>
  <c r="S42" i="16"/>
  <c r="S53" i="16"/>
  <c r="S16" i="16"/>
  <c r="BD12" i="16"/>
  <c r="BE12" i="16" s="1"/>
  <c r="AZ11" i="16"/>
  <c r="Y4" i="2"/>
  <c r="Q11" i="16"/>
  <c r="P53" i="16"/>
  <c r="M53" i="16" s="1"/>
  <c r="Q21" i="16"/>
  <c r="AZ12" i="16"/>
  <c r="BA11" i="16"/>
  <c r="AW37" i="16"/>
  <c r="BA37" i="16" s="1"/>
  <c r="P37" i="16"/>
  <c r="M37" i="16" s="1"/>
  <c r="BD11" i="16"/>
  <c r="BE11" i="16" s="1"/>
  <c r="AC4" i="2"/>
  <c r="Q35" i="16"/>
  <c r="AW42" i="16"/>
  <c r="AZ42" i="16" s="1"/>
  <c r="P42" i="16"/>
  <c r="M42" i="16" s="1"/>
  <c r="AW35" i="16"/>
  <c r="BB35" i="16" s="1"/>
  <c r="BC35" i="16" s="1"/>
  <c r="X4" i="2"/>
  <c r="AX10" i="16"/>
  <c r="AY10" i="16" s="1"/>
  <c r="P50" i="16"/>
  <c r="M50" i="16" s="1"/>
  <c r="P12" i="16"/>
  <c r="M12" i="16" s="1"/>
  <c r="Q12" i="16"/>
  <c r="AC5" i="8"/>
  <c r="S9" i="8"/>
  <c r="AB34" i="2"/>
  <c r="Y19" i="2"/>
  <c r="AC22" i="8"/>
  <c r="X37" i="2"/>
  <c r="AC43" i="8"/>
  <c r="X24" i="2"/>
  <c r="AB19" i="2"/>
  <c r="Q39" i="16"/>
  <c r="AB24" i="2"/>
  <c r="B114" i="3"/>
  <c r="G114" i="3" s="1"/>
  <c r="AC50" i="2"/>
  <c r="AB30" i="8"/>
  <c r="AV22" i="8"/>
  <c r="AW22" i="8" s="1"/>
  <c r="AX22" i="8" s="1"/>
  <c r="P46" i="16"/>
  <c r="M46" i="16" s="1"/>
  <c r="AV10" i="2"/>
  <c r="BC10" i="2" s="1"/>
  <c r="BD10" i="2" s="1"/>
  <c r="AV12" i="2"/>
  <c r="BC12" i="2" s="1"/>
  <c r="BD12" i="2" s="1"/>
  <c r="AB14" i="2"/>
  <c r="X20" i="8"/>
  <c r="AA20" i="8" s="1"/>
  <c r="S33" i="2"/>
  <c r="Y12" i="2"/>
  <c r="Y33" i="2"/>
  <c r="AC20" i="8"/>
  <c r="X20" i="2"/>
  <c r="X8" i="8"/>
  <c r="AA8" i="8" s="1"/>
  <c r="AC33" i="2"/>
  <c r="AB49" i="8"/>
  <c r="AB8" i="8"/>
  <c r="AB33" i="2"/>
  <c r="Y49" i="2"/>
  <c r="AW39" i="16"/>
  <c r="BB39" i="16" s="1"/>
  <c r="BC39" i="16" s="1"/>
  <c r="AB20" i="8"/>
  <c r="AB30" i="2"/>
  <c r="X54" i="8"/>
  <c r="AA54" i="8" s="1"/>
  <c r="P49" i="16"/>
  <c r="M49" i="16" s="1"/>
  <c r="S54" i="8"/>
  <c r="S16" i="8"/>
  <c r="X27" i="2"/>
  <c r="X29" i="8"/>
  <c r="AA29" i="8" s="1"/>
  <c r="AC22" i="2"/>
  <c r="Q5" i="16"/>
  <c r="AC27" i="2"/>
  <c r="AB38" i="8"/>
  <c r="Y20" i="8"/>
  <c r="AV20" i="8"/>
  <c r="AW20" i="8" s="1"/>
  <c r="AX20" i="8" s="1"/>
  <c r="S39" i="8"/>
  <c r="AB35" i="2"/>
  <c r="X42" i="8"/>
  <c r="AA42" i="8" s="1"/>
  <c r="AB13" i="2"/>
  <c r="Y27" i="2"/>
  <c r="AC50" i="8"/>
  <c r="G151" i="3"/>
  <c r="M151" i="3" s="1"/>
  <c r="AB27" i="2"/>
  <c r="AC42" i="8"/>
  <c r="X6" i="8"/>
  <c r="AA6" i="8" s="1"/>
  <c r="P30" i="16"/>
  <c r="M30" i="16" s="1"/>
  <c r="Y22" i="2"/>
  <c r="AC33" i="8"/>
  <c r="S42" i="8"/>
  <c r="X22" i="2"/>
  <c r="AC14" i="2"/>
  <c r="Y22" i="8"/>
  <c r="Y25" i="8"/>
  <c r="Y39" i="8"/>
  <c r="Q17" i="16"/>
  <c r="AB31" i="8"/>
  <c r="AD31" i="8" s="1"/>
  <c r="AC6" i="2"/>
  <c r="Y9" i="2"/>
  <c r="AC25" i="8"/>
  <c r="AB18" i="2"/>
  <c r="AD18" i="2" s="1"/>
  <c r="AE18" i="2" s="1"/>
  <c r="AV31" i="8"/>
  <c r="BC31" i="8" s="1"/>
  <c r="BD31" i="8" s="1"/>
  <c r="AV14" i="2"/>
  <c r="BC14" i="2" s="1"/>
  <c r="BD14" i="2" s="1"/>
  <c r="S11" i="8"/>
  <c r="Y18" i="2"/>
  <c r="AB28" i="8"/>
  <c r="AV49" i="2"/>
  <c r="BC49" i="2" s="1"/>
  <c r="BD49" i="2" s="1"/>
  <c r="AX17" i="16"/>
  <c r="AY17" i="16" s="1"/>
  <c r="AB22" i="2"/>
  <c r="AC45" i="2"/>
  <c r="AB42" i="8"/>
  <c r="AC39" i="8"/>
  <c r="AV47" i="2"/>
  <c r="BA47" i="2" s="1"/>
  <c r="BB47" i="2" s="1"/>
  <c r="P28" i="16"/>
  <c r="M28" i="16" s="1"/>
  <c r="AV36" i="8"/>
  <c r="BC36" i="8" s="1"/>
  <c r="BD36" i="8" s="1"/>
  <c r="BD17" i="16"/>
  <c r="BE17" i="16" s="1"/>
  <c r="X47" i="8"/>
  <c r="AA47" i="8" s="1"/>
  <c r="AW46" i="16"/>
  <c r="AZ46" i="16" s="1"/>
  <c r="S40" i="8"/>
  <c r="AC31" i="2"/>
  <c r="Y29" i="2"/>
  <c r="Y42" i="2"/>
  <c r="AB22" i="8"/>
  <c r="X37" i="8"/>
  <c r="AA37" i="8" s="1"/>
  <c r="Q40" i="16"/>
  <c r="X6" i="2"/>
  <c r="S33" i="8"/>
  <c r="Y23" i="2"/>
  <c r="X5" i="2"/>
  <c r="AB50" i="2"/>
  <c r="AB42" i="2"/>
  <c r="X11" i="8"/>
  <c r="AA11" i="8" s="1"/>
  <c r="Y47" i="2"/>
  <c r="AW49" i="16"/>
  <c r="BA49" i="16" s="1"/>
  <c r="AV43" i="8"/>
  <c r="BA43" i="8" s="1"/>
  <c r="BB43" i="8" s="1"/>
  <c r="Q32" i="16"/>
  <c r="AV37" i="8"/>
  <c r="AW37" i="8" s="1"/>
  <c r="AX37" i="8" s="1"/>
  <c r="P51" i="16"/>
  <c r="M51" i="16" s="1"/>
  <c r="S24" i="2"/>
  <c r="AB41" i="2"/>
  <c r="AC12" i="2"/>
  <c r="AD12" i="2" s="1"/>
  <c r="AE12" i="2" s="1"/>
  <c r="AC41" i="2"/>
  <c r="X32" i="8"/>
  <c r="AA32" i="8" s="1"/>
  <c r="X33" i="8"/>
  <c r="AA33" i="8" s="1"/>
  <c r="AV26" i="2"/>
  <c r="AZ26" i="2" s="1"/>
  <c r="AV25" i="8"/>
  <c r="BA25" i="8" s="1"/>
  <c r="BB25" i="8" s="1"/>
  <c r="S41" i="2"/>
  <c r="AB5" i="2"/>
  <c r="AC24" i="2"/>
  <c r="Y5" i="2"/>
  <c r="AB45" i="2"/>
  <c r="Y37" i="8"/>
  <c r="BA32" i="16"/>
  <c r="X21" i="8"/>
  <c r="AA21" i="8" s="1"/>
  <c r="X39" i="8"/>
  <c r="AA39" i="8" s="1"/>
  <c r="AV4" i="8"/>
  <c r="BA4" i="8" s="1"/>
  <c r="BB4" i="8" s="1"/>
  <c r="AV29" i="2"/>
  <c r="BA29" i="2" s="1"/>
  <c r="BB29" i="2" s="1"/>
  <c r="AV41" i="2"/>
  <c r="AZ41" i="2" s="1"/>
  <c r="AV45" i="2"/>
  <c r="AZ45" i="2" s="1"/>
  <c r="AW51" i="16"/>
  <c r="AZ51" i="16" s="1"/>
  <c r="AV31" i="2"/>
  <c r="BA31" i="2" s="1"/>
  <c r="BB31" i="2" s="1"/>
  <c r="AW41" i="16"/>
  <c r="BB41" i="16" s="1"/>
  <c r="BC41" i="16" s="1"/>
  <c r="AB43" i="2"/>
  <c r="AD43" i="2" s="1"/>
  <c r="AE43" i="2" s="1"/>
  <c r="S54" i="2"/>
  <c r="S43" i="8"/>
  <c r="S17" i="2"/>
  <c r="S30" i="8"/>
  <c r="Y51" i="2"/>
  <c r="AC15" i="2"/>
  <c r="AC10" i="2"/>
  <c r="X21" i="2"/>
  <c r="AC49" i="2"/>
  <c r="AB15" i="2"/>
  <c r="X16" i="2"/>
  <c r="Z16" i="2" s="1"/>
  <c r="AA16" i="2" s="1"/>
  <c r="Y19" i="8"/>
  <c r="AB47" i="8"/>
  <c r="Y35" i="8"/>
  <c r="Y30" i="8"/>
  <c r="AC4" i="8"/>
  <c r="AV38" i="8"/>
  <c r="AZ38" i="8" s="1"/>
  <c r="AV26" i="8"/>
  <c r="AW26" i="8" s="1"/>
  <c r="AX26" i="8" s="1"/>
  <c r="AV21" i="8"/>
  <c r="AW21" i="8" s="1"/>
  <c r="AX21" i="8" s="1"/>
  <c r="AV8" i="8"/>
  <c r="BC8" i="8" s="1"/>
  <c r="BD8" i="8" s="1"/>
  <c r="AZ17" i="16"/>
  <c r="S50" i="8"/>
  <c r="X30" i="2"/>
  <c r="Y11" i="8"/>
  <c r="AB17" i="2"/>
  <c r="P41" i="16"/>
  <c r="M41" i="16" s="1"/>
  <c r="BD32" i="16"/>
  <c r="BE32" i="16" s="1"/>
  <c r="BB17" i="16"/>
  <c r="BC17" i="16" s="1"/>
  <c r="S46" i="8"/>
  <c r="S19" i="8"/>
  <c r="S16" i="2"/>
  <c r="X9" i="2"/>
  <c r="Y6" i="2"/>
  <c r="AB6" i="2"/>
  <c r="X12" i="2"/>
  <c r="AC17" i="2"/>
  <c r="AB17" i="8"/>
  <c r="AC47" i="8"/>
  <c r="AV54" i="2"/>
  <c r="AZ54" i="2" s="1"/>
  <c r="AV17" i="2"/>
  <c r="BA17" i="2" s="1"/>
  <c r="BB17" i="2" s="1"/>
  <c r="AV13" i="8"/>
  <c r="BC13" i="8" s="1"/>
  <c r="BD13" i="8" s="1"/>
  <c r="S21" i="2"/>
  <c r="P17" i="16"/>
  <c r="M17" i="16" s="1"/>
  <c r="S15" i="2"/>
  <c r="S4" i="8"/>
  <c r="Y30" i="2"/>
  <c r="Y20" i="2"/>
  <c r="AC54" i="2"/>
  <c r="Y54" i="2"/>
  <c r="Z54" i="2" s="1"/>
  <c r="AA54" i="2" s="1"/>
  <c r="Y15" i="8"/>
  <c r="AW36" i="16"/>
  <c r="AX36" i="16" s="1"/>
  <c r="AY36" i="16" s="1"/>
  <c r="Q7" i="16"/>
  <c r="S15" i="8"/>
  <c r="S17" i="8"/>
  <c r="AC21" i="2"/>
  <c r="AB11" i="8"/>
  <c r="S10" i="8"/>
  <c r="Y15" i="2"/>
  <c r="AC9" i="2"/>
  <c r="AB9" i="2"/>
  <c r="AC30" i="2"/>
  <c r="AC30" i="8"/>
  <c r="AV16" i="8"/>
  <c r="AW16" i="8" s="1"/>
  <c r="AX16" i="8" s="1"/>
  <c r="AV21" i="2"/>
  <c r="BA21" i="2" s="1"/>
  <c r="BB21" i="2" s="1"/>
  <c r="AX32" i="16"/>
  <c r="AY32" i="16" s="1"/>
  <c r="Q44" i="16"/>
  <c r="S45" i="8"/>
  <c r="S32" i="8"/>
  <c r="S45" i="2"/>
  <c r="AC29" i="2"/>
  <c r="X44" i="2"/>
  <c r="AC25" i="2"/>
  <c r="AB48" i="2"/>
  <c r="Y48" i="2"/>
  <c r="AB46" i="2"/>
  <c r="X43" i="2"/>
  <c r="AC44" i="2"/>
  <c r="X18" i="2"/>
  <c r="AB41" i="8"/>
  <c r="X16" i="8"/>
  <c r="AA16" i="8" s="1"/>
  <c r="AC27" i="8"/>
  <c r="Y32" i="8"/>
  <c r="X7" i="8"/>
  <c r="AA7" i="8" s="1"/>
  <c r="AC34" i="2"/>
  <c r="Q36" i="16"/>
  <c r="AV35" i="8"/>
  <c r="AZ35" i="8" s="1"/>
  <c r="AW44" i="16"/>
  <c r="AZ44" i="16" s="1"/>
  <c r="S27" i="8"/>
  <c r="S46" i="2"/>
  <c r="Y46" i="2"/>
  <c r="AC24" i="8"/>
  <c r="AB20" i="2"/>
  <c r="AD20" i="2" s="1"/>
  <c r="AE20" i="2" s="1"/>
  <c r="S28" i="8"/>
  <c r="S23" i="8"/>
  <c r="S48" i="2"/>
  <c r="S37" i="2"/>
  <c r="D151" i="3"/>
  <c r="AC7" i="2"/>
  <c r="AC5" i="2"/>
  <c r="AB44" i="2"/>
  <c r="X25" i="2"/>
  <c r="AB37" i="2"/>
  <c r="X46" i="2"/>
  <c r="AB7" i="2"/>
  <c r="X53" i="2"/>
  <c r="AB27" i="8"/>
  <c r="Y27" i="8"/>
  <c r="AC23" i="8"/>
  <c r="Y33" i="8"/>
  <c r="AB12" i="8"/>
  <c r="Y14" i="8"/>
  <c r="AV15" i="8"/>
  <c r="AZ15" i="8" s="1"/>
  <c r="AV43" i="2"/>
  <c r="BA43" i="2" s="1"/>
  <c r="BB43" i="2" s="1"/>
  <c r="AV20" i="2"/>
  <c r="BC20" i="2" s="1"/>
  <c r="BD20" i="2" s="1"/>
  <c r="Q30" i="16"/>
  <c r="AV23" i="2"/>
  <c r="AW23" i="2" s="1"/>
  <c r="AX23" i="2" s="1"/>
  <c r="P25" i="16"/>
  <c r="M25" i="16" s="1"/>
  <c r="AW7" i="16"/>
  <c r="AZ7" i="16" s="1"/>
  <c r="AV7" i="8"/>
  <c r="BA7" i="8" s="1"/>
  <c r="BB7" i="8" s="1"/>
  <c r="AW48" i="16"/>
  <c r="BB48" i="16" s="1"/>
  <c r="BC48" i="16" s="1"/>
  <c r="Y43" i="2"/>
  <c r="AC37" i="2"/>
  <c r="AB7" i="8"/>
  <c r="AB24" i="8"/>
  <c r="X27" i="8"/>
  <c r="AA27" i="8" s="1"/>
  <c r="P48" i="16"/>
  <c r="M48" i="16" s="1"/>
  <c r="P5" i="16"/>
  <c r="M5" i="16" s="1"/>
  <c r="Q26" i="16"/>
  <c r="P40" i="16"/>
  <c r="M40" i="16" s="1"/>
  <c r="S24" i="8"/>
  <c r="S41" i="8"/>
  <c r="D150" i="3"/>
  <c r="X35" i="2"/>
  <c r="Y21" i="2"/>
  <c r="X23" i="2"/>
  <c r="Y7" i="2"/>
  <c r="Y35" i="2"/>
  <c r="AC46" i="8"/>
  <c r="X24" i="8"/>
  <c r="AC36" i="8"/>
  <c r="AC44" i="8"/>
  <c r="Y44" i="8"/>
  <c r="Q43" i="16"/>
  <c r="AZ32" i="16"/>
  <c r="AW24" i="16"/>
  <c r="BB24" i="16" s="1"/>
  <c r="BC24" i="16" s="1"/>
  <c r="AW26" i="16"/>
  <c r="AX26" i="16" s="1"/>
  <c r="AY26" i="16" s="1"/>
  <c r="P32" i="16"/>
  <c r="M32" i="16" s="1"/>
  <c r="AW27" i="16"/>
  <c r="BA27" i="16" s="1"/>
  <c r="X7" i="2"/>
  <c r="Y34" i="2"/>
  <c r="AC19" i="2"/>
  <c r="X48" i="2"/>
  <c r="AB23" i="2"/>
  <c r="AC15" i="8"/>
  <c r="Q27" i="16"/>
  <c r="S12" i="8"/>
  <c r="S44" i="8"/>
  <c r="S44" i="2"/>
  <c r="S8" i="8"/>
  <c r="S34" i="2"/>
  <c r="G150" i="3"/>
  <c r="M150" i="3" s="1"/>
  <c r="X29" i="2"/>
  <c r="X38" i="2"/>
  <c r="X19" i="2"/>
  <c r="AC23" i="2"/>
  <c r="AC35" i="2"/>
  <c r="AC53" i="2"/>
  <c r="Y24" i="8"/>
  <c r="Y8" i="8"/>
  <c r="AC8" i="8"/>
  <c r="X46" i="8"/>
  <c r="AA46" i="8" s="1"/>
  <c r="AB33" i="8"/>
  <c r="AV27" i="8"/>
  <c r="BC27" i="8" s="1"/>
  <c r="BD27" i="8" s="1"/>
  <c r="AV5" i="8"/>
  <c r="AW5" i="8" s="1"/>
  <c r="AX5" i="8" s="1"/>
  <c r="Q24" i="16"/>
  <c r="AZ46" i="8"/>
  <c r="BA46" i="8"/>
  <c r="BB46" i="8" s="1"/>
  <c r="BC46" i="8"/>
  <c r="BD46" i="8" s="1"/>
  <c r="AW46" i="8"/>
  <c r="AX46" i="8" s="1"/>
  <c r="BD6" i="16"/>
  <c r="BE6" i="16" s="1"/>
  <c r="BA6" i="16"/>
  <c r="BB6" i="16"/>
  <c r="BC6" i="16" s="1"/>
  <c r="AZ6" i="16"/>
  <c r="AX6" i="16"/>
  <c r="AY6" i="16" s="1"/>
  <c r="BD54" i="16"/>
  <c r="BE54" i="16" s="1"/>
  <c r="AZ54" i="16"/>
  <c r="BA54" i="16"/>
  <c r="BB54" i="16"/>
  <c r="BC54" i="16" s="1"/>
  <c r="AX54" i="16"/>
  <c r="AY54" i="16" s="1"/>
  <c r="AB32" i="16"/>
  <c r="AZ20" i="16"/>
  <c r="BD20" i="16"/>
  <c r="BE20" i="16" s="1"/>
  <c r="BA20" i="16"/>
  <c r="BB20" i="16"/>
  <c r="BC20" i="16" s="1"/>
  <c r="AX20" i="16"/>
  <c r="AY20" i="16" s="1"/>
  <c r="BC38" i="2"/>
  <c r="BD38" i="2" s="1"/>
  <c r="AZ38" i="2"/>
  <c r="BA38" i="2"/>
  <c r="BB38" i="2" s="1"/>
  <c r="AW38" i="2"/>
  <c r="AX38" i="2" s="1"/>
  <c r="AW45" i="8"/>
  <c r="AX45" i="8" s="1"/>
  <c r="BA45" i="8"/>
  <c r="BB45" i="8" s="1"/>
  <c r="BC45" i="8"/>
  <c r="BD45" i="8" s="1"/>
  <c r="AZ45" i="8"/>
  <c r="AW45" i="16"/>
  <c r="P45" i="16"/>
  <c r="M45" i="16" s="1"/>
  <c r="AW14" i="16"/>
  <c r="Q14" i="16"/>
  <c r="P14" i="16"/>
  <c r="M14" i="16" s="1"/>
  <c r="AW49" i="8"/>
  <c r="AX49" i="8" s="1"/>
  <c r="BA49" i="8"/>
  <c r="BB49" i="8" s="1"/>
  <c r="AZ49" i="8"/>
  <c r="BC49" i="8"/>
  <c r="BD49" i="8" s="1"/>
  <c r="BA47" i="8"/>
  <c r="BB47" i="8" s="1"/>
  <c r="BC47" i="8"/>
  <c r="BD47" i="8" s="1"/>
  <c r="AZ47" i="8"/>
  <c r="AW47" i="8"/>
  <c r="AX47" i="8" s="1"/>
  <c r="AW17" i="8"/>
  <c r="AX17" i="8" s="1"/>
  <c r="BA17" i="8"/>
  <c r="BB17" i="8" s="1"/>
  <c r="BC17" i="8"/>
  <c r="BD17" i="8" s="1"/>
  <c r="AZ17" i="8"/>
  <c r="AZ6" i="2"/>
  <c r="BA6" i="2"/>
  <c r="BB6" i="2" s="1"/>
  <c r="BC6" i="2"/>
  <c r="BD6" i="2" s="1"/>
  <c r="AW6" i="2"/>
  <c r="AX6" i="2" s="1"/>
  <c r="AB26" i="2"/>
  <c r="AC26" i="2"/>
  <c r="X26" i="2"/>
  <c r="Y26" i="2"/>
  <c r="AW33" i="16"/>
  <c r="P33" i="16"/>
  <c r="M33" i="16" s="1"/>
  <c r="AW24" i="2"/>
  <c r="AX24" i="2" s="1"/>
  <c r="AZ24" i="2"/>
  <c r="BA24" i="2"/>
  <c r="BB24" i="2" s="1"/>
  <c r="BC24" i="2"/>
  <c r="BD24" i="2" s="1"/>
  <c r="AW32" i="8"/>
  <c r="AX32" i="8" s="1"/>
  <c r="BC32" i="8"/>
  <c r="BD32" i="8" s="1"/>
  <c r="AZ32" i="8"/>
  <c r="BA32" i="8"/>
  <c r="BB32" i="8" s="1"/>
  <c r="S39" i="2"/>
  <c r="AV39" i="2"/>
  <c r="AB39" i="2"/>
  <c r="AD39" i="2" s="1"/>
  <c r="AE39" i="2" s="1"/>
  <c r="Y39" i="2"/>
  <c r="Q33" i="16"/>
  <c r="Y52" i="16"/>
  <c r="AA52" i="16" s="1"/>
  <c r="X15" i="8"/>
  <c r="AA15" i="8" s="1"/>
  <c r="S52" i="8"/>
  <c r="Y52" i="8"/>
  <c r="AC52" i="8"/>
  <c r="X52" i="8"/>
  <c r="AV52" i="8"/>
  <c r="AB52" i="8"/>
  <c r="S14" i="2"/>
  <c r="Y14" i="2"/>
  <c r="Z14" i="2" s="1"/>
  <c r="AA14" i="2" s="1"/>
  <c r="AC16" i="2"/>
  <c r="AV16" i="2"/>
  <c r="AB16" i="2"/>
  <c r="X9" i="8"/>
  <c r="AA9" i="8" s="1"/>
  <c r="AB9" i="8"/>
  <c r="AC9" i="8"/>
  <c r="AV9" i="8"/>
  <c r="AZ50" i="8"/>
  <c r="BC50" i="8"/>
  <c r="BD50" i="8" s="1"/>
  <c r="BA50" i="8"/>
  <c r="BB50" i="8" s="1"/>
  <c r="AW50" i="8"/>
  <c r="AX50" i="8" s="1"/>
  <c r="X14" i="8"/>
  <c r="AA14" i="8" s="1"/>
  <c r="S14" i="8"/>
  <c r="AV14" i="8"/>
  <c r="AB14" i="8"/>
  <c r="AD14" i="8" s="1"/>
  <c r="Y48" i="8"/>
  <c r="AC48" i="8"/>
  <c r="X48" i="8"/>
  <c r="AB48" i="8"/>
  <c r="AV48" i="8"/>
  <c r="AB28" i="16"/>
  <c r="Y22" i="16"/>
  <c r="AA22" i="16" s="1"/>
  <c r="AW33" i="2"/>
  <c r="AX33" i="2" s="1"/>
  <c r="AZ33" i="2"/>
  <c r="BA33" i="2"/>
  <c r="BB33" i="2" s="1"/>
  <c r="BC33" i="2"/>
  <c r="BD33" i="2" s="1"/>
  <c r="J149" i="3"/>
  <c r="G149" i="3"/>
  <c r="AZ46" i="2"/>
  <c r="BA46" i="2"/>
  <c r="BB46" i="2" s="1"/>
  <c r="BC46" i="2"/>
  <c r="BD46" i="2" s="1"/>
  <c r="AW46" i="2"/>
  <c r="AX46" i="2" s="1"/>
  <c r="S8" i="2"/>
  <c r="Y8" i="2"/>
  <c r="AC8" i="2"/>
  <c r="AB8" i="2"/>
  <c r="AV8" i="2"/>
  <c r="X8" i="2"/>
  <c r="X32" i="2"/>
  <c r="AC32" i="2"/>
  <c r="AD32" i="2" s="1"/>
  <c r="AE32" i="2" s="1"/>
  <c r="Y32" i="2"/>
  <c r="S32" i="2"/>
  <c r="AW29" i="16"/>
  <c r="Q29" i="16"/>
  <c r="Y11" i="2"/>
  <c r="AC11" i="2"/>
  <c r="AV11" i="2"/>
  <c r="X11" i="2"/>
  <c r="BA39" i="8"/>
  <c r="BB39" i="8" s="1"/>
  <c r="AZ39" i="8"/>
  <c r="BC39" i="8"/>
  <c r="BD39" i="8" s="1"/>
  <c r="AW39" i="8"/>
  <c r="AX39" i="8" s="1"/>
  <c r="Y26" i="16"/>
  <c r="AA26" i="16" s="1"/>
  <c r="X49" i="8"/>
  <c r="AA49" i="8" s="1"/>
  <c r="AC49" i="8"/>
  <c r="Y49" i="8"/>
  <c r="X42" i="2"/>
  <c r="S42" i="2"/>
  <c r="X41" i="2"/>
  <c r="AB36" i="16"/>
  <c r="X39" i="2"/>
  <c r="AW52" i="16"/>
  <c r="Q52" i="16"/>
  <c r="AV29" i="8"/>
  <c r="AC38" i="8"/>
  <c r="Y38" i="8"/>
  <c r="S38" i="8"/>
  <c r="AW44" i="8"/>
  <c r="AX44" i="8" s="1"/>
  <c r="BC44" i="8"/>
  <c r="BD44" i="8" s="1"/>
  <c r="AZ44" i="8"/>
  <c r="BA44" i="8"/>
  <c r="BB44" i="8" s="1"/>
  <c r="AB23" i="8"/>
  <c r="AV23" i="8"/>
  <c r="X23" i="8"/>
  <c r="AA23" i="8" s="1"/>
  <c r="X50" i="8"/>
  <c r="Y50" i="8"/>
  <c r="AB50" i="8"/>
  <c r="AB53" i="8"/>
  <c r="Y53" i="8"/>
  <c r="AV53" i="8"/>
  <c r="X53" i="8"/>
  <c r="AA53" i="8" s="1"/>
  <c r="AC53" i="8"/>
  <c r="AV28" i="8"/>
  <c r="AC28" i="8"/>
  <c r="Y28" i="8"/>
  <c r="Z28" i="8" s="1"/>
  <c r="Y11" i="16"/>
  <c r="AA11" i="16" s="1"/>
  <c r="AB11" i="16" s="1"/>
  <c r="Y18" i="16"/>
  <c r="AA18" i="16" s="1"/>
  <c r="AB18" i="16" s="1"/>
  <c r="AZ30" i="2"/>
  <c r="BC30" i="2"/>
  <c r="BD30" i="2" s="1"/>
  <c r="BA30" i="2"/>
  <c r="BB30" i="2" s="1"/>
  <c r="AW30" i="2"/>
  <c r="AX30" i="2" s="1"/>
  <c r="P22" i="16"/>
  <c r="M22" i="16" s="1"/>
  <c r="AW22" i="16"/>
  <c r="Q22" i="16"/>
  <c r="AZ42" i="8"/>
  <c r="BA42" i="8"/>
  <c r="BB42" i="8" s="1"/>
  <c r="BC42" i="8"/>
  <c r="BD42" i="8" s="1"/>
  <c r="AW42" i="8"/>
  <c r="AX42" i="8" s="1"/>
  <c r="X45" i="8"/>
  <c r="Y45" i="8"/>
  <c r="AB45" i="8"/>
  <c r="AC45" i="8"/>
  <c r="Q45" i="16"/>
  <c r="J148" i="3"/>
  <c r="D148" i="3"/>
  <c r="AZ40" i="16"/>
  <c r="BD40" i="16"/>
  <c r="BE40" i="16" s="1"/>
  <c r="BB40" i="16"/>
  <c r="BC40" i="16" s="1"/>
  <c r="BA40" i="16"/>
  <c r="AX40" i="16"/>
  <c r="AY40" i="16" s="1"/>
  <c r="Y12" i="16"/>
  <c r="AA12" i="16" s="1"/>
  <c r="G148" i="3"/>
  <c r="Y29" i="8"/>
  <c r="AW53" i="2"/>
  <c r="AX53" i="2" s="1"/>
  <c r="BA53" i="2"/>
  <c r="BB53" i="2" s="1"/>
  <c r="AZ53" i="2"/>
  <c r="BC53" i="2"/>
  <c r="BD53" i="2" s="1"/>
  <c r="AW36" i="2"/>
  <c r="AX36" i="2" s="1"/>
  <c r="BC36" i="2"/>
  <c r="BD36" i="2" s="1"/>
  <c r="AZ36" i="2"/>
  <c r="BA36" i="2"/>
  <c r="BB36" i="2" s="1"/>
  <c r="S47" i="2"/>
  <c r="X47" i="2"/>
  <c r="AC47" i="2"/>
  <c r="BC50" i="2"/>
  <c r="BD50" i="2" s="1"/>
  <c r="AZ50" i="2"/>
  <c r="BA50" i="2"/>
  <c r="BB50" i="2" s="1"/>
  <c r="AW50" i="2"/>
  <c r="AX50" i="2" s="1"/>
  <c r="AC34" i="8"/>
  <c r="AB34" i="8"/>
  <c r="AV34" i="8"/>
  <c r="Y34" i="8"/>
  <c r="S34" i="8"/>
  <c r="X34" i="8"/>
  <c r="AA34" i="8" s="1"/>
  <c r="S52" i="2"/>
  <c r="AV52" i="2"/>
  <c r="Y52" i="2"/>
  <c r="X18" i="8"/>
  <c r="AA18" i="8" s="1"/>
  <c r="AV18" i="8"/>
  <c r="AC18" i="8"/>
  <c r="AB18" i="8"/>
  <c r="S18" i="8"/>
  <c r="S51" i="2"/>
  <c r="AV51" i="2"/>
  <c r="AC51" i="2"/>
  <c r="AD51" i="2" s="1"/>
  <c r="AE51" i="2" s="1"/>
  <c r="X51" i="2"/>
  <c r="S49" i="8"/>
  <c r="X52" i="2"/>
  <c r="AB53" i="2"/>
  <c r="Y53" i="2"/>
  <c r="S53" i="2"/>
  <c r="S36" i="2"/>
  <c r="Y36" i="2"/>
  <c r="AB36" i="2"/>
  <c r="X36" i="2"/>
  <c r="AC36" i="2"/>
  <c r="AZ54" i="8"/>
  <c r="BC54" i="8"/>
  <c r="BD54" i="8" s="1"/>
  <c r="BA54" i="8"/>
  <c r="BB54" i="8" s="1"/>
  <c r="AW54" i="8"/>
  <c r="AX54" i="8" s="1"/>
  <c r="S50" i="2"/>
  <c r="Y50" i="2"/>
  <c r="X50" i="2"/>
  <c r="AZ30" i="8"/>
  <c r="BC30" i="8"/>
  <c r="BD30" i="8" s="1"/>
  <c r="BA30" i="8"/>
  <c r="BB30" i="8" s="1"/>
  <c r="AW30" i="8"/>
  <c r="AX30" i="8" s="1"/>
  <c r="BA30" i="16"/>
  <c r="BB30" i="16"/>
  <c r="BC30" i="16" s="1"/>
  <c r="BD30" i="16"/>
  <c r="BE30" i="16" s="1"/>
  <c r="AZ30" i="16"/>
  <c r="AX30" i="16"/>
  <c r="AY30" i="16" s="1"/>
  <c r="S18" i="2"/>
  <c r="AV18" i="2"/>
  <c r="AW31" i="16"/>
  <c r="Q31" i="16"/>
  <c r="P31" i="16"/>
  <c r="M31" i="16" s="1"/>
  <c r="AW48" i="2"/>
  <c r="AX48" i="2" s="1"/>
  <c r="BA48" i="2"/>
  <c r="BB48" i="2" s="1"/>
  <c r="BC48" i="2"/>
  <c r="BD48" i="2" s="1"/>
  <c r="AZ48" i="2"/>
  <c r="P20" i="16"/>
  <c r="M20" i="16" s="1"/>
  <c r="Q20" i="16"/>
  <c r="S29" i="8"/>
  <c r="P6" i="16"/>
  <c r="M6" i="16" s="1"/>
  <c r="Q6" i="16"/>
  <c r="AW40" i="2"/>
  <c r="AX40" i="2" s="1"/>
  <c r="AZ40" i="2"/>
  <c r="BC40" i="2"/>
  <c r="BD40" i="2" s="1"/>
  <c r="BA40" i="2"/>
  <c r="BB40" i="2" s="1"/>
  <c r="Y13" i="16"/>
  <c r="AA13" i="16" s="1"/>
  <c r="AC29" i="8"/>
  <c r="AD29" i="8" s="1"/>
  <c r="AW37" i="2"/>
  <c r="AX37" i="2" s="1"/>
  <c r="BC37" i="2"/>
  <c r="BD37" i="2" s="1"/>
  <c r="AZ37" i="2"/>
  <c r="BA37" i="2"/>
  <c r="BB37" i="2" s="1"/>
  <c r="AC26" i="8"/>
  <c r="AB26" i="8"/>
  <c r="X26" i="8"/>
  <c r="Z26" i="8" s="1"/>
  <c r="S26" i="8"/>
  <c r="S31" i="8"/>
  <c r="X31" i="8"/>
  <c r="AA31" i="8" s="1"/>
  <c r="P54" i="16"/>
  <c r="M54" i="16" s="1"/>
  <c r="Q54" i="16"/>
  <c r="AC6" i="8"/>
  <c r="AB6" i="8"/>
  <c r="Y6" i="8"/>
  <c r="S6" i="8"/>
  <c r="S35" i="8"/>
  <c r="X35" i="8"/>
  <c r="AA35" i="8" s="1"/>
  <c r="AC35" i="8"/>
  <c r="AD35" i="8" s="1"/>
  <c r="AW8" i="16"/>
  <c r="P8" i="16"/>
  <c r="M8" i="16" s="1"/>
  <c r="AZ34" i="2"/>
  <c r="BA34" i="2"/>
  <c r="BB34" i="2" s="1"/>
  <c r="BC34" i="2"/>
  <c r="BD34" i="2" s="1"/>
  <c r="AW34" i="2"/>
  <c r="AX34" i="2" s="1"/>
  <c r="Y8" i="16"/>
  <c r="AA8" i="16" s="1"/>
  <c r="S11" i="2"/>
  <c r="AB11" i="2"/>
  <c r="AB52" i="2"/>
  <c r="AC42" i="2"/>
  <c r="AC52" i="2"/>
  <c r="Y31" i="8"/>
  <c r="S38" i="2"/>
  <c r="Y38" i="2"/>
  <c r="AB38" i="2"/>
  <c r="AC38" i="2"/>
  <c r="AZ10" i="8"/>
  <c r="BC10" i="8"/>
  <c r="BD10" i="8" s="1"/>
  <c r="BA10" i="8"/>
  <c r="BB10" i="8" s="1"/>
  <c r="AW10" i="8"/>
  <c r="AX10" i="8" s="1"/>
  <c r="AC19" i="8"/>
  <c r="AD19" i="8" s="1"/>
  <c r="AV19" i="8"/>
  <c r="X19" i="8"/>
  <c r="AA19" i="8" s="1"/>
  <c r="AB46" i="8"/>
  <c r="Y46" i="8"/>
  <c r="BA19" i="2"/>
  <c r="BB19" i="2" s="1"/>
  <c r="BC19" i="2"/>
  <c r="BD19" i="2" s="1"/>
  <c r="AZ19" i="2"/>
  <c r="AW19" i="2"/>
  <c r="AX19" i="2" s="1"/>
  <c r="AV32" i="2"/>
  <c r="S28" i="2"/>
  <c r="AC28" i="2"/>
  <c r="AV28" i="2"/>
  <c r="AB28" i="2"/>
  <c r="Y28" i="2"/>
  <c r="Z28" i="2" s="1"/>
  <c r="AA28" i="2" s="1"/>
  <c r="Y13" i="2"/>
  <c r="AV13" i="2"/>
  <c r="X13" i="2"/>
  <c r="S13" i="2"/>
  <c r="BA11" i="8"/>
  <c r="BB11" i="8" s="1"/>
  <c r="AZ11" i="8"/>
  <c r="BC11" i="8"/>
  <c r="BD11" i="8" s="1"/>
  <c r="AW11" i="8"/>
  <c r="AX11" i="8" s="1"/>
  <c r="BA51" i="8"/>
  <c r="BB51" i="8" s="1"/>
  <c r="BC51" i="8"/>
  <c r="BD51" i="8" s="1"/>
  <c r="AZ51" i="8"/>
  <c r="AW51" i="8"/>
  <c r="AX51" i="8" s="1"/>
  <c r="Y5" i="16"/>
  <c r="AA5" i="16" s="1"/>
  <c r="BA35" i="2"/>
  <c r="BB35" i="2" s="1"/>
  <c r="AZ35" i="2"/>
  <c r="BC35" i="2"/>
  <c r="BD35" i="2" s="1"/>
  <c r="AW35" i="2"/>
  <c r="AX35" i="2" s="1"/>
  <c r="S25" i="2"/>
  <c r="AB51" i="8"/>
  <c r="X51" i="8"/>
  <c r="AA51" i="8" s="1"/>
  <c r="S10" i="2"/>
  <c r="S13" i="8"/>
  <c r="AB25" i="2"/>
  <c r="Y51" i="8"/>
  <c r="AB5" i="8"/>
  <c r="AW13" i="16"/>
  <c r="P13" i="16"/>
  <c r="M13" i="16" s="1"/>
  <c r="AW9" i="2"/>
  <c r="AX9" i="2" s="1"/>
  <c r="AZ9" i="2"/>
  <c r="BC9" i="2"/>
  <c r="BD9" i="2" s="1"/>
  <c r="BA9" i="2"/>
  <c r="BB9" i="2" s="1"/>
  <c r="AW40" i="8"/>
  <c r="AX40" i="8" s="1"/>
  <c r="AZ40" i="8"/>
  <c r="BA40" i="8"/>
  <c r="BB40" i="8" s="1"/>
  <c r="BC40" i="8"/>
  <c r="BD40" i="8" s="1"/>
  <c r="AZ5" i="16"/>
  <c r="BB5" i="16"/>
  <c r="BC5" i="16" s="1"/>
  <c r="BD5" i="16"/>
  <c r="BE5" i="16" s="1"/>
  <c r="BA5" i="16"/>
  <c r="AX5" i="16"/>
  <c r="AY5" i="16" s="1"/>
  <c r="AB16" i="8"/>
  <c r="AD16" i="8" s="1"/>
  <c r="Y16" i="8"/>
  <c r="AB43" i="8"/>
  <c r="X43" i="8"/>
  <c r="AA43" i="8" s="1"/>
  <c r="AZ22" i="2"/>
  <c r="BC22" i="2"/>
  <c r="BD22" i="2" s="1"/>
  <c r="BA22" i="2"/>
  <c r="BB22" i="2" s="1"/>
  <c r="AW22" i="2"/>
  <c r="AX22" i="2" s="1"/>
  <c r="BA7" i="2"/>
  <c r="BB7" i="2" s="1"/>
  <c r="AZ7" i="2"/>
  <c r="BC7" i="2"/>
  <c r="BD7" i="2" s="1"/>
  <c r="AW7" i="2"/>
  <c r="AX7" i="2" s="1"/>
  <c r="S21" i="8"/>
  <c r="AC21" i="8"/>
  <c r="AB21" i="8"/>
  <c r="AB54" i="2"/>
  <c r="Y42" i="8"/>
  <c r="BA15" i="2"/>
  <c r="BB15" i="2" s="1"/>
  <c r="AZ15" i="2"/>
  <c r="BC15" i="2"/>
  <c r="BD15" i="2" s="1"/>
  <c r="AW15" i="2"/>
  <c r="AX15" i="2" s="1"/>
  <c r="S20" i="2"/>
  <c r="AC17" i="8"/>
  <c r="X17" i="8"/>
  <c r="Y17" i="8"/>
  <c r="AB25" i="8"/>
  <c r="X25" i="8"/>
  <c r="AA25" i="8" s="1"/>
  <c r="AW41" i="8"/>
  <c r="AX41" i="8" s="1"/>
  <c r="AZ41" i="8"/>
  <c r="BA41" i="8"/>
  <c r="BB41" i="8" s="1"/>
  <c r="BC41" i="8"/>
  <c r="BD41" i="8" s="1"/>
  <c r="S49" i="2"/>
  <c r="Y33" i="16"/>
  <c r="AA33" i="16" s="1"/>
  <c r="Y51" i="16"/>
  <c r="AA51" i="16" s="1"/>
  <c r="Y29" i="16"/>
  <c r="AA29" i="16" s="1"/>
  <c r="Q28" i="16"/>
  <c r="AB39" i="8"/>
  <c r="Y16" i="16"/>
  <c r="AA16" i="16" s="1"/>
  <c r="AA53" i="16"/>
  <c r="AB53" i="16" s="1"/>
  <c r="S51" i="8"/>
  <c r="Y25" i="2"/>
  <c r="Y5" i="8"/>
  <c r="AC51" i="8"/>
  <c r="AX25" i="16"/>
  <c r="AY25" i="16" s="1"/>
  <c r="AZ25" i="16"/>
  <c r="BA25" i="16"/>
  <c r="BB25" i="16"/>
  <c r="BC25" i="16" s="1"/>
  <c r="BD25" i="16"/>
  <c r="BE25" i="16" s="1"/>
  <c r="S12" i="2"/>
  <c r="S9" i="2"/>
  <c r="AB40" i="8"/>
  <c r="AC40" i="8"/>
  <c r="Y40" i="8"/>
  <c r="X40" i="8"/>
  <c r="S43" i="2"/>
  <c r="S22" i="2"/>
  <c r="Y4" i="8"/>
  <c r="Z4" i="8" s="1"/>
  <c r="AB4" i="8"/>
  <c r="S7" i="2"/>
  <c r="S36" i="8"/>
  <c r="Y36" i="8"/>
  <c r="AB36" i="8"/>
  <c r="X15" i="2"/>
  <c r="Y41" i="8"/>
  <c r="AC41" i="8"/>
  <c r="X41" i="8"/>
  <c r="Y17" i="2"/>
  <c r="Z17" i="2" s="1"/>
  <c r="AA17" i="2" s="1"/>
  <c r="AW43" i="16"/>
  <c r="S27" i="2"/>
  <c r="AB21" i="2"/>
  <c r="AC7" i="8"/>
  <c r="Y7" i="8"/>
  <c r="AA9" i="16"/>
  <c r="Y6" i="16"/>
  <c r="AA6" i="16" s="1"/>
  <c r="Y47" i="16"/>
  <c r="AA47" i="16" s="1"/>
  <c r="AA38" i="16"/>
  <c r="X33" i="2"/>
  <c r="AA30" i="16"/>
  <c r="Y31" i="16"/>
  <c r="AA31" i="16" s="1"/>
  <c r="Y23" i="16"/>
  <c r="AA23" i="16" s="1"/>
  <c r="AA42" i="16"/>
  <c r="AB42" i="16" s="1"/>
  <c r="AA24" i="16"/>
  <c r="AC13" i="8"/>
  <c r="AD13" i="8" s="1"/>
  <c r="Y13" i="8"/>
  <c r="AB31" i="2"/>
  <c r="AB10" i="2"/>
  <c r="X31" i="2"/>
  <c r="AV33" i="8"/>
  <c r="AC46" i="2"/>
  <c r="X44" i="8"/>
  <c r="AA44" i="8" s="1"/>
  <c r="AB44" i="8"/>
  <c r="S29" i="2"/>
  <c r="Y24" i="2"/>
  <c r="X45" i="2"/>
  <c r="X22" i="8"/>
  <c r="AA22" i="8" s="1"/>
  <c r="X34" i="2"/>
  <c r="AB37" i="8"/>
  <c r="AC37" i="8"/>
  <c r="S23" i="2"/>
  <c r="AC11" i="8"/>
  <c r="AA27" i="16"/>
  <c r="Y40" i="16"/>
  <c r="AA40" i="16" s="1"/>
  <c r="Y21" i="16"/>
  <c r="AA21" i="16" s="1"/>
  <c r="Y19" i="16"/>
  <c r="AA19" i="16" s="1"/>
  <c r="AB19" i="16" s="1"/>
  <c r="AA15" i="16"/>
  <c r="AV24" i="8"/>
  <c r="S31" i="2"/>
  <c r="Y39" i="16"/>
  <c r="AA39" i="16" s="1"/>
  <c r="AA50" i="16"/>
  <c r="AB50" i="16" s="1"/>
  <c r="S5" i="8"/>
  <c r="X10" i="2"/>
  <c r="X13" i="8"/>
  <c r="AA13" i="8" s="1"/>
  <c r="X5" i="8"/>
  <c r="AA5" i="8" s="1"/>
  <c r="Y37" i="2"/>
  <c r="S30" i="2"/>
  <c r="Y10" i="8"/>
  <c r="AC10" i="8"/>
  <c r="AB10" i="8"/>
  <c r="X10" i="8"/>
  <c r="AC54" i="8"/>
  <c r="Y54" i="8"/>
  <c r="AB54" i="8"/>
  <c r="S47" i="8"/>
  <c r="Y47" i="8"/>
  <c r="S19" i="2"/>
  <c r="X30" i="8"/>
  <c r="AA30" i="8" s="1"/>
  <c r="Y44" i="2"/>
  <c r="Y12" i="8"/>
  <c r="AC12" i="8"/>
  <c r="X12" i="8"/>
  <c r="AB32" i="8"/>
  <c r="AC32" i="8"/>
  <c r="S6" i="2"/>
  <c r="S5" i="2"/>
  <c r="AC48" i="2"/>
  <c r="BD28" i="16"/>
  <c r="BE28" i="16" s="1"/>
  <c r="BA28" i="16"/>
  <c r="BB28" i="16"/>
  <c r="BC28" i="16" s="1"/>
  <c r="AZ28" i="16"/>
  <c r="AX28" i="16"/>
  <c r="AY28" i="16" s="1"/>
  <c r="Q25" i="16"/>
  <c r="AA20" i="16"/>
  <c r="Y46" i="16"/>
  <c r="AA46" i="16" s="1"/>
  <c r="AA41" i="16"/>
  <c r="Y17" i="16"/>
  <c r="AA17" i="16" s="1"/>
  <c r="S35" i="2"/>
  <c r="D41" i="3"/>
  <c r="G41" i="3"/>
  <c r="J41" i="3"/>
  <c r="G42" i="3"/>
  <c r="D42" i="3"/>
  <c r="J42" i="3"/>
  <c r="G39" i="3"/>
  <c r="D39" i="3"/>
  <c r="J39" i="3"/>
  <c r="D40" i="3"/>
  <c r="J40" i="3"/>
  <c r="G40" i="3"/>
  <c r="AA4" i="8"/>
  <c r="S40" i="2"/>
  <c r="AB40" i="2"/>
  <c r="X40" i="2"/>
  <c r="AC40" i="2"/>
  <c r="Y40" i="2"/>
  <c r="E112" i="3"/>
  <c r="J111" i="3"/>
  <c r="J112" i="3"/>
  <c r="G112" i="3"/>
  <c r="J113" i="3"/>
  <c r="D111" i="3"/>
  <c r="G111" i="3"/>
  <c r="D113" i="3"/>
  <c r="E113" i="3"/>
  <c r="G113" i="3"/>
  <c r="S4" i="16"/>
  <c r="Y26" i="9" l="1"/>
  <c r="Z26" i="9" s="1"/>
  <c r="Y49" i="9"/>
  <c r="Y8" i="9"/>
  <c r="Z8" i="9" s="1"/>
  <c r="Y30" i="9"/>
  <c r="Z30" i="9" s="1"/>
  <c r="Y43" i="9"/>
  <c r="Z43" i="9" s="1"/>
  <c r="Y45" i="9"/>
  <c r="Z45" i="9" s="1"/>
  <c r="Y9" i="9"/>
  <c r="Z9" i="9" s="1"/>
  <c r="Y29" i="9"/>
  <c r="Z29" i="9" s="1"/>
  <c r="Y32" i="9"/>
  <c r="Z32" i="9" s="1"/>
  <c r="Y21" i="9"/>
  <c r="Y36" i="9"/>
  <c r="Z36" i="9" s="1"/>
  <c r="Y42" i="9"/>
  <c r="Z42" i="9" s="1"/>
  <c r="Y20" i="9"/>
  <c r="Z20" i="9" s="1"/>
  <c r="Y54" i="9"/>
  <c r="Z54" i="9" s="1"/>
  <c r="Y18" i="9"/>
  <c r="Z18" i="9" s="1"/>
  <c r="Y38" i="9"/>
  <c r="Z38" i="9" s="1"/>
  <c r="Y19" i="9"/>
  <c r="Z19" i="9" s="1"/>
  <c r="Y48" i="9"/>
  <c r="Z48" i="9" s="1"/>
  <c r="Y39" i="9"/>
  <c r="Z39" i="9" s="1"/>
  <c r="Y12" i="9"/>
  <c r="Z12" i="9" s="1"/>
  <c r="Y10" i="9"/>
  <c r="Z10" i="9" s="1"/>
  <c r="Y40" i="9"/>
  <c r="Z40" i="9" s="1"/>
  <c r="Y22" i="9"/>
  <c r="Z22" i="9" s="1"/>
  <c r="Y13" i="9"/>
  <c r="Z13" i="9" s="1"/>
  <c r="Y51" i="9"/>
  <c r="Z51" i="9" s="1"/>
  <c r="Y5" i="9"/>
  <c r="Z5" i="9" s="1"/>
  <c r="Y41" i="9"/>
  <c r="Z41" i="9" s="1"/>
  <c r="Y24" i="9"/>
  <c r="Z24" i="9" s="1"/>
  <c r="Y15" i="9"/>
  <c r="Z15" i="9" s="1"/>
  <c r="Y6" i="9"/>
  <c r="Z6" i="9" s="1"/>
  <c r="Y52" i="9"/>
  <c r="Z52" i="9" s="1"/>
  <c r="Y35" i="9"/>
  <c r="Z35" i="9" s="1"/>
  <c r="Y23" i="9"/>
  <c r="Z23" i="9" s="1"/>
  <c r="Y14" i="9"/>
  <c r="Z14" i="9" s="1"/>
  <c r="Y50" i="9"/>
  <c r="Z50" i="9" s="1"/>
  <c r="Y33" i="9"/>
  <c r="Z33" i="9" s="1"/>
  <c r="Y16" i="9"/>
  <c r="Z16" i="9" s="1"/>
  <c r="Y7" i="9"/>
  <c r="Z7" i="9" s="1"/>
  <c r="Y53" i="9"/>
  <c r="Z53" i="9" s="1"/>
  <c r="Y44" i="9"/>
  <c r="Z44" i="9" s="1"/>
  <c r="Y17" i="9"/>
  <c r="Z17" i="9" s="1"/>
  <c r="Y4" i="9"/>
  <c r="Z4" i="9" s="1"/>
  <c r="Y46" i="9"/>
  <c r="Z46" i="9" s="1"/>
  <c r="Y37" i="9"/>
  <c r="Z37" i="9" s="1"/>
  <c r="Y28" i="9"/>
  <c r="Z28" i="9" s="1"/>
  <c r="Y11" i="9"/>
  <c r="Z11" i="9" s="1"/>
  <c r="CG29" i="2"/>
  <c r="CK29" i="2" s="1"/>
  <c r="CS29" i="2" s="1"/>
  <c r="CT29" i="2" s="1"/>
  <c r="CU29" i="2" s="1"/>
  <c r="CG45" i="2"/>
  <c r="CK45" i="2" s="1"/>
  <c r="CS45" i="2" s="1"/>
  <c r="CT45" i="2" s="1"/>
  <c r="CU45" i="2" s="1"/>
  <c r="CG21" i="2"/>
  <c r="CK21" i="2" s="1"/>
  <c r="CS21" i="2" s="1"/>
  <c r="CT21" i="2" s="1"/>
  <c r="CU21" i="2" s="1"/>
  <c r="CH4" i="2"/>
  <c r="CK4" i="2" s="1"/>
  <c r="CS4" i="2" s="1"/>
  <c r="CT4" i="2" s="1"/>
  <c r="CU4" i="2" s="1"/>
  <c r="S10" i="9"/>
  <c r="CA10" i="9" s="1"/>
  <c r="CC10" i="9" s="1"/>
  <c r="AA34" i="9"/>
  <c r="AB34" i="9" s="1"/>
  <c r="S22" i="9"/>
  <c r="CA22" i="9" s="1"/>
  <c r="CC22" i="9" s="1"/>
  <c r="T29" i="9"/>
  <c r="S34" i="9"/>
  <c r="CA34" i="9" s="1"/>
  <c r="CC34" i="9" s="1"/>
  <c r="S29" i="9"/>
  <c r="CA29" i="9" s="1"/>
  <c r="CC29" i="9" s="1"/>
  <c r="AA8" i="9"/>
  <c r="AB8" i="9" s="1"/>
  <c r="AM5" i="9"/>
  <c r="AR5" i="9" s="1"/>
  <c r="AS5" i="9" s="1"/>
  <c r="AK30" i="9"/>
  <c r="AL30" i="9" s="1"/>
  <c r="T40" i="9"/>
  <c r="T30" i="9"/>
  <c r="AA40" i="9"/>
  <c r="AB40" i="9" s="1"/>
  <c r="S11" i="9"/>
  <c r="CA11" i="9" s="1"/>
  <c r="CC11" i="9" s="1"/>
  <c r="AK11" i="9"/>
  <c r="AL11" i="9" s="1"/>
  <c r="S40" i="9"/>
  <c r="CA40" i="9" s="1"/>
  <c r="CC40" i="9" s="1"/>
  <c r="AM40" i="9"/>
  <c r="AQ40" i="9" s="1"/>
  <c r="AK15" i="9"/>
  <c r="AL15" i="9" s="1"/>
  <c r="S37" i="9"/>
  <c r="CA37" i="9" s="1"/>
  <c r="CC37" i="9" s="1"/>
  <c r="T9" i="9"/>
  <c r="AA11" i="9"/>
  <c r="AB11" i="9" s="1"/>
  <c r="T14" i="9"/>
  <c r="S12" i="9"/>
  <c r="CA12" i="9" s="1"/>
  <c r="CC12" i="9" s="1"/>
  <c r="AM11" i="9"/>
  <c r="AR11" i="9" s="1"/>
  <c r="AS11" i="9" s="1"/>
  <c r="AK37" i="9"/>
  <c r="AL37" i="9" s="1"/>
  <c r="AM30" i="9"/>
  <c r="AR30" i="9" s="1"/>
  <c r="AS30" i="9" s="1"/>
  <c r="S30" i="9"/>
  <c r="CA30" i="9" s="1"/>
  <c r="CC30" i="9" s="1"/>
  <c r="AM41" i="9"/>
  <c r="AN41" i="9" s="1"/>
  <c r="AO41" i="9" s="1"/>
  <c r="CG5" i="2"/>
  <c r="CK5" i="2" s="1"/>
  <c r="CS5" i="2" s="1"/>
  <c r="CT5" i="2" s="1"/>
  <c r="CU5" i="2" s="1"/>
  <c r="T22" i="9"/>
  <c r="AM33" i="9"/>
  <c r="AN33" i="9" s="1"/>
  <c r="AO33" i="9" s="1"/>
  <c r="AA10" i="9"/>
  <c r="AB10" i="9" s="1"/>
  <c r="AM10" i="9"/>
  <c r="AR10" i="9" s="1"/>
  <c r="AS10" i="9" s="1"/>
  <c r="S5" i="9"/>
  <c r="CA5" i="9" s="1"/>
  <c r="CC5" i="9" s="1"/>
  <c r="S8" i="9"/>
  <c r="CA8" i="9" s="1"/>
  <c r="CC8" i="9" s="1"/>
  <c r="T33" i="9"/>
  <c r="T8" i="9"/>
  <c r="AA22" i="9"/>
  <c r="AB22" i="9" s="1"/>
  <c r="S33" i="9"/>
  <c r="CA33" i="9" s="1"/>
  <c r="CC33" i="9" s="1"/>
  <c r="AK36" i="9"/>
  <c r="AL36" i="9" s="1"/>
  <c r="T10" i="9"/>
  <c r="T5" i="9"/>
  <c r="AM22" i="9"/>
  <c r="AR22" i="9" s="1"/>
  <c r="AS22" i="9" s="1"/>
  <c r="AM45" i="9"/>
  <c r="AR45" i="9" s="1"/>
  <c r="AS45" i="9" s="1"/>
  <c r="AA6" i="9"/>
  <c r="AB6" i="9" s="1"/>
  <c r="AK5" i="9"/>
  <c r="AL5" i="9" s="1"/>
  <c r="AA33" i="9"/>
  <c r="AB33" i="9" s="1"/>
  <c r="AA29" i="9"/>
  <c r="AB29" i="9" s="1"/>
  <c r="S4" i="9"/>
  <c r="G19" i="9"/>
  <c r="H19" i="9" s="1"/>
  <c r="T18" i="9"/>
  <c r="AM29" i="9"/>
  <c r="AR29" i="9" s="1"/>
  <c r="AS29" i="9" s="1"/>
  <c r="AK34" i="9"/>
  <c r="AL34" i="9" s="1"/>
  <c r="S14" i="9"/>
  <c r="CA14" i="9" s="1"/>
  <c r="CC14" i="9" s="1"/>
  <c r="AA4" i="9"/>
  <c r="AB4" i="9" s="1"/>
  <c r="AM18" i="9"/>
  <c r="AR18" i="9" s="1"/>
  <c r="AS18" i="9" s="1"/>
  <c r="AM51" i="9"/>
  <c r="AQ51" i="9" s="1"/>
  <c r="T47" i="9"/>
  <c r="B111" i="9"/>
  <c r="B117" i="9" s="1"/>
  <c r="D117" i="9" s="1"/>
  <c r="AM43" i="9"/>
  <c r="AR43" i="9" s="1"/>
  <c r="AS43" i="9" s="1"/>
  <c r="AK51" i="9"/>
  <c r="AL51" i="9" s="1"/>
  <c r="S23" i="9"/>
  <c r="CA23" i="9" s="1"/>
  <c r="CC23" i="9" s="1"/>
  <c r="S47" i="9"/>
  <c r="CA47" i="9" s="1"/>
  <c r="CC47" i="9" s="1"/>
  <c r="R8" i="16"/>
  <c r="AM50" i="9"/>
  <c r="AR50" i="9" s="1"/>
  <c r="AS50" i="9" s="1"/>
  <c r="B110" i="9"/>
  <c r="B116" i="9" s="1"/>
  <c r="D116" i="9" s="1"/>
  <c r="T17" i="9"/>
  <c r="S9" i="9"/>
  <c r="CA9" i="9" s="1"/>
  <c r="CC9" i="9" s="1"/>
  <c r="T32" i="9"/>
  <c r="B41" i="9"/>
  <c r="B137" i="23" s="1"/>
  <c r="S17" i="9"/>
  <c r="CA17" i="9" s="1"/>
  <c r="CC17" i="9" s="1"/>
  <c r="S41" i="9"/>
  <c r="CA41" i="9" s="1"/>
  <c r="CC41" i="9" s="1"/>
  <c r="T44" i="9"/>
  <c r="S35" i="9"/>
  <c r="CA35" i="9" s="1"/>
  <c r="CC35" i="9" s="1"/>
  <c r="S32" i="9"/>
  <c r="CA32" i="9" s="1"/>
  <c r="CC32" i="9" s="1"/>
  <c r="AM35" i="9"/>
  <c r="AT35" i="9" s="1"/>
  <c r="AU35" i="9" s="1"/>
  <c r="AA37" i="9"/>
  <c r="AB37" i="9" s="1"/>
  <c r="R13" i="16"/>
  <c r="AM12" i="9"/>
  <c r="AR12" i="9" s="1"/>
  <c r="AS12" i="9" s="1"/>
  <c r="AM15" i="9"/>
  <c r="AR15" i="9" s="1"/>
  <c r="AS15" i="9" s="1"/>
  <c r="AA41" i="9"/>
  <c r="AB41" i="9" s="1"/>
  <c r="AA14" i="9"/>
  <c r="AB14" i="9" s="1"/>
  <c r="AM23" i="9"/>
  <c r="AR23" i="9" s="1"/>
  <c r="AS23" i="9" s="1"/>
  <c r="AK14" i="9"/>
  <c r="AL14" i="9" s="1"/>
  <c r="AA32" i="9"/>
  <c r="AB32" i="9" s="1"/>
  <c r="S13" i="9"/>
  <c r="CA13" i="9" s="1"/>
  <c r="CC13" i="9" s="1"/>
  <c r="AK4" i="9"/>
  <c r="AL4" i="9" s="1"/>
  <c r="T50" i="9"/>
  <c r="B125" i="9"/>
  <c r="T37" i="9"/>
  <c r="S39" i="9"/>
  <c r="CA39" i="9" s="1"/>
  <c r="CC39" i="9" s="1"/>
  <c r="AM32" i="9"/>
  <c r="AT32" i="9" s="1"/>
  <c r="AU32" i="9" s="1"/>
  <c r="AM34" i="9"/>
  <c r="AR34" i="9" s="1"/>
  <c r="AS34" i="9" s="1"/>
  <c r="AA39" i="9"/>
  <c r="AB39" i="9" s="1"/>
  <c r="X37" i="16"/>
  <c r="AA13" i="9"/>
  <c r="AB13" i="9" s="1"/>
  <c r="B43" i="9"/>
  <c r="B140" i="23" s="1"/>
  <c r="AM4" i="9"/>
  <c r="AT4" i="9" s="1"/>
  <c r="AU4" i="9" s="1"/>
  <c r="AM20" i="9"/>
  <c r="AT20" i="9" s="1"/>
  <c r="AU20" i="9" s="1"/>
  <c r="AM39" i="9"/>
  <c r="AQ39" i="9" s="1"/>
  <c r="AA35" i="9"/>
  <c r="AB35" i="9" s="1"/>
  <c r="S50" i="9"/>
  <c r="CA50" i="9" s="1"/>
  <c r="CC50" i="9" s="1"/>
  <c r="T39" i="9"/>
  <c r="S19" i="9"/>
  <c r="CA19" i="9" s="1"/>
  <c r="CC19" i="9" s="1"/>
  <c r="S15" i="9"/>
  <c r="CA15" i="9" s="1"/>
  <c r="CC15" i="9" s="1"/>
  <c r="AA49" i="9"/>
  <c r="AB49" i="9" s="1"/>
  <c r="AA20" i="9"/>
  <c r="AB20" i="9" s="1"/>
  <c r="AA23" i="9"/>
  <c r="AB23" i="9" s="1"/>
  <c r="B8" i="9"/>
  <c r="AA9" i="9"/>
  <c r="AB9" i="9" s="1"/>
  <c r="AM13" i="9"/>
  <c r="AR13" i="9" s="1"/>
  <c r="AS13" i="9" s="1"/>
  <c r="AA17" i="9"/>
  <c r="AB17" i="9" s="1"/>
  <c r="AM9" i="9"/>
  <c r="AR9" i="9" s="1"/>
  <c r="AS9" i="9" s="1"/>
  <c r="AM17" i="9"/>
  <c r="AR17" i="9" s="1"/>
  <c r="AS17" i="9" s="1"/>
  <c r="AM8" i="9"/>
  <c r="AT8" i="9" s="1"/>
  <c r="AU8" i="9" s="1"/>
  <c r="T13" i="9"/>
  <c r="T23" i="9"/>
  <c r="T12" i="9"/>
  <c r="T41" i="9"/>
  <c r="T34" i="9"/>
  <c r="T35" i="9"/>
  <c r="T15" i="9"/>
  <c r="S46" i="9"/>
  <c r="CA46" i="9" s="1"/>
  <c r="CC46" i="9" s="1"/>
  <c r="AA12" i="9"/>
  <c r="AB12" i="9" s="1"/>
  <c r="AA50" i="9"/>
  <c r="AB50" i="9" s="1"/>
  <c r="B115" i="9"/>
  <c r="D115" i="9" s="1"/>
  <c r="AM52" i="9"/>
  <c r="AR52" i="9" s="1"/>
  <c r="AS52" i="9" s="1"/>
  <c r="AK47" i="9"/>
  <c r="AL47" i="9" s="1"/>
  <c r="S52" i="9"/>
  <c r="CA52" i="9" s="1"/>
  <c r="CC52" i="9" s="1"/>
  <c r="T43" i="9"/>
  <c r="T53" i="9"/>
  <c r="S51" i="9"/>
  <c r="CA51" i="9" s="1"/>
  <c r="CC51" i="9" s="1"/>
  <c r="T54" i="9"/>
  <c r="AA26" i="9"/>
  <c r="AB26" i="9" s="1"/>
  <c r="AA43" i="9"/>
  <c r="AB43" i="9" s="1"/>
  <c r="AM48" i="9"/>
  <c r="AR48" i="9" s="1"/>
  <c r="AS48" i="9" s="1"/>
  <c r="AA36" i="9"/>
  <c r="AB36" i="9" s="1"/>
  <c r="AA52" i="9"/>
  <c r="AB52" i="9" s="1"/>
  <c r="AA51" i="9"/>
  <c r="AB51" i="9" s="1"/>
  <c r="AK44" i="9"/>
  <c r="AL44" i="9" s="1"/>
  <c r="B114" i="9"/>
  <c r="D114" i="9" s="1"/>
  <c r="S38" i="9"/>
  <c r="CA38" i="9" s="1"/>
  <c r="CC38" i="9" s="1"/>
  <c r="S53" i="9"/>
  <c r="CA53" i="9" s="1"/>
  <c r="CC53" i="9" s="1"/>
  <c r="G18" i="9"/>
  <c r="H18" i="9" s="1"/>
  <c r="B25" i="23" s="1"/>
  <c r="S26" i="9"/>
  <c r="CA26" i="9" s="1"/>
  <c r="CC26" i="9" s="1"/>
  <c r="S44" i="9"/>
  <c r="CA44" i="9" s="1"/>
  <c r="CC44" i="9" s="1"/>
  <c r="S43" i="9"/>
  <c r="CA43" i="9" s="1"/>
  <c r="CC43" i="9" s="1"/>
  <c r="T46" i="9"/>
  <c r="AM36" i="9"/>
  <c r="AR36" i="9" s="1"/>
  <c r="AS36" i="9" s="1"/>
  <c r="R38" i="16"/>
  <c r="AK46" i="9"/>
  <c r="AL46" i="9" s="1"/>
  <c r="AM54" i="9"/>
  <c r="AT54" i="9" s="1"/>
  <c r="AU54" i="9" s="1"/>
  <c r="T16" i="9"/>
  <c r="R51" i="16"/>
  <c r="S24" i="9"/>
  <c r="CA24" i="9" s="1"/>
  <c r="CC24" i="9" s="1"/>
  <c r="T7" i="9"/>
  <c r="S36" i="9"/>
  <c r="CA36" i="9" s="1"/>
  <c r="CC36" i="9" s="1"/>
  <c r="S20" i="9"/>
  <c r="CA20" i="9" s="1"/>
  <c r="CC20" i="9" s="1"/>
  <c r="R49" i="16"/>
  <c r="AM49" i="9"/>
  <c r="AR49" i="9" s="1"/>
  <c r="AS49" i="9" s="1"/>
  <c r="AM42" i="9"/>
  <c r="AR42" i="9" s="1"/>
  <c r="AS42" i="9" s="1"/>
  <c r="AA27" i="9"/>
  <c r="AB27" i="9" s="1"/>
  <c r="AK21" i="9"/>
  <c r="AL21" i="9" s="1"/>
  <c r="AA21" i="9"/>
  <c r="AB21" i="9" s="1"/>
  <c r="AK31" i="9"/>
  <c r="AL31" i="9" s="1"/>
  <c r="T42" i="9"/>
  <c r="AA31" i="9"/>
  <c r="AB31" i="9" s="1"/>
  <c r="AA25" i="9"/>
  <c r="AB25" i="9" s="1"/>
  <c r="AM31" i="9"/>
  <c r="AT31" i="9" s="1"/>
  <c r="AU31" i="9" s="1"/>
  <c r="AK25" i="9"/>
  <c r="AL25" i="9" s="1"/>
  <c r="AK27" i="9"/>
  <c r="AL27" i="9" s="1"/>
  <c r="B120" i="9"/>
  <c r="B167" i="23" s="1"/>
  <c r="T25" i="9"/>
  <c r="S25" i="9"/>
  <c r="CA25" i="9" s="1"/>
  <c r="CC25" i="9" s="1"/>
  <c r="T49" i="9"/>
  <c r="S48" i="9"/>
  <c r="S7" i="9"/>
  <c r="CA7" i="9" s="1"/>
  <c r="CC7" i="9" s="1"/>
  <c r="T20" i="9"/>
  <c r="T24" i="9"/>
  <c r="T28" i="9"/>
  <c r="S42" i="9"/>
  <c r="CA42" i="9" s="1"/>
  <c r="CC42" i="9" s="1"/>
  <c r="Z21" i="9"/>
  <c r="AM24" i="9"/>
  <c r="AA19" i="9"/>
  <c r="AB19" i="9" s="1"/>
  <c r="AA7" i="9"/>
  <c r="AB7" i="9" s="1"/>
  <c r="AM6" i="9"/>
  <c r="AR6" i="9" s="1"/>
  <c r="AS6" i="9" s="1"/>
  <c r="AM16" i="9"/>
  <c r="AN16" i="9" s="1"/>
  <c r="AO16" i="9" s="1"/>
  <c r="AK53" i="9"/>
  <c r="AL53" i="9" s="1"/>
  <c r="AK49" i="9"/>
  <c r="AL49" i="9" s="1"/>
  <c r="AM25" i="9"/>
  <c r="AQ25" i="9" s="1"/>
  <c r="AM27" i="9"/>
  <c r="B124" i="9"/>
  <c r="T21" i="9"/>
  <c r="W21" i="9" s="1"/>
  <c r="X21" i="9" s="1"/>
  <c r="AA38" i="9"/>
  <c r="AB38" i="9" s="1"/>
  <c r="S54" i="9"/>
  <c r="CA54" i="9" s="1"/>
  <c r="CC54" i="9" s="1"/>
  <c r="AM21" i="9"/>
  <c r="AR21" i="9" s="1"/>
  <c r="AS21" i="9" s="1"/>
  <c r="S31" i="9"/>
  <c r="CA31" i="9" s="1"/>
  <c r="CC31" i="9" s="1"/>
  <c r="T48" i="9"/>
  <c r="R46" i="16"/>
  <c r="S6" i="9"/>
  <c r="CA6" i="9" s="1"/>
  <c r="CC6" i="9" s="1"/>
  <c r="T45" i="9"/>
  <c r="S45" i="9"/>
  <c r="CA45" i="9" s="1"/>
  <c r="CC45" i="9" s="1"/>
  <c r="S27" i="9"/>
  <c r="CA27" i="9" s="1"/>
  <c r="CC27" i="9" s="1"/>
  <c r="T31" i="9"/>
  <c r="S18" i="9"/>
  <c r="AM7" i="9"/>
  <c r="AR7" i="9" s="1"/>
  <c r="AS7" i="9" s="1"/>
  <c r="AM28" i="9"/>
  <c r="AR28" i="9" s="1"/>
  <c r="AS28" i="9" s="1"/>
  <c r="AA47" i="9"/>
  <c r="AB47" i="9" s="1"/>
  <c r="AA53" i="9"/>
  <c r="AB53" i="9" s="1"/>
  <c r="AA44" i="9"/>
  <c r="AB44" i="9" s="1"/>
  <c r="AA48" i="9"/>
  <c r="AB48" i="9" s="1"/>
  <c r="AA28" i="9"/>
  <c r="AB28" i="9" s="1"/>
  <c r="AM19" i="9"/>
  <c r="AT19" i="9" s="1"/>
  <c r="AU19" i="9" s="1"/>
  <c r="AA45" i="9"/>
  <c r="AB45" i="9" s="1"/>
  <c r="Z49" i="9"/>
  <c r="R48" i="16"/>
  <c r="AM47" i="9"/>
  <c r="AR47" i="9" s="1"/>
  <c r="AS47" i="9" s="1"/>
  <c r="AM46" i="9"/>
  <c r="G17" i="9"/>
  <c r="H17" i="9" s="1"/>
  <c r="S16" i="9"/>
  <c r="CA16" i="9" s="1"/>
  <c r="CC16" i="9" s="1"/>
  <c r="AA24" i="9"/>
  <c r="AB24" i="9" s="1"/>
  <c r="AM38" i="9"/>
  <c r="AR38" i="9" s="1"/>
  <c r="AS38" i="9" s="1"/>
  <c r="T38" i="9"/>
  <c r="T6" i="9"/>
  <c r="AA16" i="9"/>
  <c r="AB16" i="9" s="1"/>
  <c r="B113" i="9"/>
  <c r="T27" i="9"/>
  <c r="T52" i="9"/>
  <c r="T19" i="9"/>
  <c r="S28" i="9"/>
  <c r="CA28" i="9" s="1"/>
  <c r="CC28" i="9" s="1"/>
  <c r="AM26" i="9"/>
  <c r="AR26" i="9" s="1"/>
  <c r="AS26" i="9" s="1"/>
  <c r="AA42" i="9"/>
  <c r="AB42" i="9" s="1"/>
  <c r="AA54" i="9"/>
  <c r="AB54" i="9" s="1"/>
  <c r="AA18" i="9"/>
  <c r="AB18" i="9" s="1"/>
  <c r="T26" i="9"/>
  <c r="CG10" i="2"/>
  <c r="CK10" i="2" s="1"/>
  <c r="CS10" i="2" s="1"/>
  <c r="CT10" i="2" s="1"/>
  <c r="CU10" i="2" s="1"/>
  <c r="CG23" i="2"/>
  <c r="CK23" i="2" s="1"/>
  <c r="CS23" i="2" s="1"/>
  <c r="CT23" i="2" s="1"/>
  <c r="CU23" i="2" s="1"/>
  <c r="T10" i="2"/>
  <c r="CG27" i="2"/>
  <c r="CK27" i="2" s="1"/>
  <c r="CS27" i="2" s="1"/>
  <c r="CT27" i="2" s="1"/>
  <c r="CU27" i="2" s="1"/>
  <c r="CG54" i="8"/>
  <c r="CH54" i="8"/>
  <c r="CG47" i="2"/>
  <c r="CH47" i="2"/>
  <c r="CG24" i="2"/>
  <c r="CH24" i="2"/>
  <c r="CG17" i="2"/>
  <c r="CH17" i="2"/>
  <c r="CG46" i="2"/>
  <c r="CH46" i="2"/>
  <c r="CG54" i="2"/>
  <c r="CH54" i="2"/>
  <c r="CG6" i="2"/>
  <c r="CH6" i="2"/>
  <c r="CG4" i="8"/>
  <c r="CH4" i="8"/>
  <c r="CG52" i="2"/>
  <c r="CH52" i="2"/>
  <c r="CG44" i="2"/>
  <c r="CH44" i="2"/>
  <c r="CG42" i="2"/>
  <c r="CH42" i="2"/>
  <c r="CG35" i="2"/>
  <c r="CH35" i="2"/>
  <c r="CG39" i="2"/>
  <c r="CH39" i="2"/>
  <c r="CG9" i="2"/>
  <c r="CH9" i="2"/>
  <c r="CG33" i="2"/>
  <c r="CH33" i="2"/>
  <c r="CG22" i="2"/>
  <c r="CH22" i="2"/>
  <c r="CG13" i="2"/>
  <c r="CH13" i="2"/>
  <c r="CG7" i="2"/>
  <c r="CH7" i="2"/>
  <c r="CG16" i="2"/>
  <c r="CH16" i="2"/>
  <c r="CG32" i="2"/>
  <c r="CH32" i="2"/>
  <c r="CG28" i="2"/>
  <c r="CH28" i="2"/>
  <c r="CG37" i="2"/>
  <c r="CH37" i="2"/>
  <c r="CG40" i="2"/>
  <c r="CH40" i="2"/>
  <c r="CG20" i="2"/>
  <c r="CH20" i="2"/>
  <c r="CG53" i="2"/>
  <c r="CH53" i="2"/>
  <c r="CG51" i="2"/>
  <c r="CH51" i="2"/>
  <c r="CG11" i="2"/>
  <c r="CH11" i="2"/>
  <c r="CG30" i="2"/>
  <c r="CH30" i="2"/>
  <c r="CG48" i="2"/>
  <c r="CH48" i="2"/>
  <c r="CG34" i="2"/>
  <c r="CH34" i="2"/>
  <c r="CG49" i="2"/>
  <c r="CH49" i="2"/>
  <c r="CG14" i="2"/>
  <c r="CH14" i="2"/>
  <c r="CG26" i="2"/>
  <c r="CH26" i="2"/>
  <c r="CG15" i="2"/>
  <c r="CH15" i="2"/>
  <c r="CG8" i="2"/>
  <c r="CH8" i="2"/>
  <c r="CG43" i="2"/>
  <c r="CH43" i="2"/>
  <c r="CG36" i="2"/>
  <c r="CH36" i="2"/>
  <c r="CG25" i="2"/>
  <c r="CH25" i="2"/>
  <c r="CG50" i="2"/>
  <c r="CH50" i="2"/>
  <c r="CG31" i="2"/>
  <c r="CH31" i="2"/>
  <c r="CG38" i="2"/>
  <c r="CH38" i="2"/>
  <c r="CG12" i="2"/>
  <c r="CH12" i="2"/>
  <c r="CG41" i="2"/>
  <c r="CH41" i="2"/>
  <c r="CG18" i="2"/>
  <c r="CH18" i="2"/>
  <c r="CG19" i="2"/>
  <c r="CH19" i="2"/>
  <c r="BL10" i="8"/>
  <c r="BL12" i="8"/>
  <c r="BL52" i="8"/>
  <c r="BK15" i="8"/>
  <c r="BK10" i="8"/>
  <c r="BL38" i="8"/>
  <c r="BK32" i="8"/>
  <c r="BL27" i="8"/>
  <c r="BL6" i="8"/>
  <c r="BL25" i="8"/>
  <c r="BL21" i="8"/>
  <c r="BL35" i="8"/>
  <c r="BK18" i="8"/>
  <c r="BK7" i="8"/>
  <c r="BL22" i="8"/>
  <c r="BK6" i="8"/>
  <c r="BL53" i="8"/>
  <c r="BL54" i="8"/>
  <c r="BL5" i="8"/>
  <c r="BK20" i="8"/>
  <c r="BK36" i="8"/>
  <c r="BL8" i="8"/>
  <c r="BK19" i="8"/>
  <c r="BK12" i="8"/>
  <c r="BK31" i="8"/>
  <c r="BK26" i="8"/>
  <c r="BL4" i="8"/>
  <c r="BL20" i="8"/>
  <c r="BK42" i="8"/>
  <c r="BK52" i="8"/>
  <c r="BK35" i="8"/>
  <c r="BL48" i="8"/>
  <c r="BL16" i="8"/>
  <c r="BK13" i="8"/>
  <c r="BK30" i="8"/>
  <c r="BK48" i="8"/>
  <c r="BK25" i="8"/>
  <c r="BL40" i="8"/>
  <c r="BL29" i="8"/>
  <c r="BL42" i="8"/>
  <c r="BK24" i="8"/>
  <c r="BK51" i="8"/>
  <c r="BL45" i="8"/>
  <c r="BL46" i="8"/>
  <c r="BL13" i="8"/>
  <c r="BL47" i="8"/>
  <c r="BK21" i="8"/>
  <c r="BK16" i="8"/>
  <c r="BL50" i="8"/>
  <c r="BL7" i="8"/>
  <c r="BL15" i="8"/>
  <c r="BL11" i="8"/>
  <c r="BL51" i="8"/>
  <c r="BL36" i="8"/>
  <c r="BL18" i="8"/>
  <c r="BK28" i="8"/>
  <c r="BK22" i="8"/>
  <c r="BK23" i="8"/>
  <c r="BK34" i="8"/>
  <c r="BK8" i="8"/>
  <c r="BK41" i="8"/>
  <c r="BL37" i="8"/>
  <c r="BL43" i="8"/>
  <c r="BL33" i="8"/>
  <c r="BL23" i="8"/>
  <c r="BL49" i="8"/>
  <c r="BL9" i="8"/>
  <c r="BK49" i="8"/>
  <c r="BK33" i="8"/>
  <c r="BK38" i="8"/>
  <c r="BK9" i="8"/>
  <c r="BK43" i="8"/>
  <c r="BK54" i="8"/>
  <c r="BK40" i="8"/>
  <c r="BL39" i="8"/>
  <c r="BL26" i="8"/>
  <c r="BL41" i="8"/>
  <c r="BL24" i="8"/>
  <c r="BL31" i="8"/>
  <c r="BL17" i="8"/>
  <c r="BL44" i="8"/>
  <c r="BK45" i="8"/>
  <c r="BK17" i="8"/>
  <c r="BK50" i="8"/>
  <c r="BK14" i="8"/>
  <c r="BK27" i="8"/>
  <c r="BK39" i="8"/>
  <c r="BK5" i="8"/>
  <c r="BL32" i="8"/>
  <c r="BL14" i="8"/>
  <c r="BL30" i="8"/>
  <c r="BL19" i="8"/>
  <c r="BL34" i="8"/>
  <c r="BK11" i="8"/>
  <c r="BK44" i="8"/>
  <c r="BK37" i="8"/>
  <c r="BK47" i="8"/>
  <c r="BK46" i="8"/>
  <c r="BK4" i="8"/>
  <c r="BK29" i="8"/>
  <c r="BK53" i="8"/>
  <c r="BN41" i="8"/>
  <c r="BN30" i="8"/>
  <c r="CM47" i="16"/>
  <c r="CM21" i="16"/>
  <c r="CM44" i="16"/>
  <c r="CM52" i="16"/>
  <c r="CM26" i="16"/>
  <c r="CM43" i="16"/>
  <c r="CM35" i="16"/>
  <c r="CM24" i="16"/>
  <c r="CM29" i="16"/>
  <c r="CM27" i="16"/>
  <c r="CK28" i="16"/>
  <c r="CA28" i="16"/>
  <c r="CI28" i="16" s="1"/>
  <c r="CJ28" i="16"/>
  <c r="CK42" i="16"/>
  <c r="CA42" i="16"/>
  <c r="CI42" i="16" s="1"/>
  <c r="CJ42" i="16"/>
  <c r="CK5" i="16"/>
  <c r="CA5" i="16"/>
  <c r="CI5" i="16" s="1"/>
  <c r="CJ5" i="16"/>
  <c r="T41" i="16"/>
  <c r="CK41" i="16"/>
  <c r="CA41" i="16"/>
  <c r="CI41" i="16" s="1"/>
  <c r="CJ41" i="16"/>
  <c r="CK15" i="16"/>
  <c r="CA15" i="16"/>
  <c r="CI15" i="16" s="1"/>
  <c r="CJ15" i="16"/>
  <c r="CK54" i="16"/>
  <c r="CA54" i="16"/>
  <c r="CI54" i="16" s="1"/>
  <c r="CJ54" i="16"/>
  <c r="CK22" i="16"/>
  <c r="CA22" i="16"/>
  <c r="CI22" i="16" s="1"/>
  <c r="CJ22" i="16"/>
  <c r="CK33" i="16"/>
  <c r="CA33" i="16"/>
  <c r="CI33" i="16" s="1"/>
  <c r="CJ33" i="16"/>
  <c r="T48" i="16"/>
  <c r="CK48" i="16"/>
  <c r="CA48" i="16"/>
  <c r="CI48" i="16" s="1"/>
  <c r="CJ48" i="16"/>
  <c r="CK25" i="16"/>
  <c r="CA25" i="16"/>
  <c r="CI25" i="16" s="1"/>
  <c r="CJ25" i="16"/>
  <c r="CK17" i="16"/>
  <c r="CA17" i="16"/>
  <c r="CI17" i="16" s="1"/>
  <c r="CJ17" i="16"/>
  <c r="CK53" i="16"/>
  <c r="CA53" i="16"/>
  <c r="CI53" i="16" s="1"/>
  <c r="CJ53" i="16"/>
  <c r="CK18" i="16"/>
  <c r="CA18" i="16"/>
  <c r="CI18" i="16" s="1"/>
  <c r="CJ18" i="16"/>
  <c r="CK20" i="16"/>
  <c r="CA20" i="16"/>
  <c r="CI20" i="16" s="1"/>
  <c r="CJ20" i="16"/>
  <c r="CK32" i="16"/>
  <c r="CA32" i="16"/>
  <c r="CI32" i="16" s="1"/>
  <c r="CJ32" i="16"/>
  <c r="T46" i="16"/>
  <c r="CK46" i="16"/>
  <c r="CA46" i="16"/>
  <c r="CI46" i="16" s="1"/>
  <c r="CJ46" i="16"/>
  <c r="CK40" i="16"/>
  <c r="CA40" i="16"/>
  <c r="CI40" i="16" s="1"/>
  <c r="CJ40" i="16"/>
  <c r="CK12" i="16"/>
  <c r="CA12" i="16"/>
  <c r="CI12" i="16" s="1"/>
  <c r="CJ12" i="16"/>
  <c r="T38" i="16"/>
  <c r="CK38" i="16"/>
  <c r="CA38" i="16"/>
  <c r="CI38" i="16" s="1"/>
  <c r="CJ38" i="16"/>
  <c r="CK11" i="16"/>
  <c r="CA11" i="16"/>
  <c r="CI11" i="16" s="1"/>
  <c r="CJ11" i="16"/>
  <c r="CK6" i="16"/>
  <c r="CA6" i="16"/>
  <c r="CI6" i="16" s="1"/>
  <c r="CJ6" i="16"/>
  <c r="CK31" i="16"/>
  <c r="CA31" i="16"/>
  <c r="CI31" i="16" s="1"/>
  <c r="CJ31" i="16"/>
  <c r="CK14" i="16"/>
  <c r="CA14" i="16"/>
  <c r="CI14" i="16" s="1"/>
  <c r="CJ14" i="16"/>
  <c r="T50" i="16"/>
  <c r="CK50" i="16"/>
  <c r="CA50" i="16"/>
  <c r="CI50" i="16" s="1"/>
  <c r="CJ50" i="16"/>
  <c r="CK10" i="16"/>
  <c r="CA10" i="16"/>
  <c r="CI10" i="16" s="1"/>
  <c r="CJ10" i="16"/>
  <c r="CK34" i="16"/>
  <c r="CA34" i="16"/>
  <c r="CI34" i="16" s="1"/>
  <c r="CJ34" i="16"/>
  <c r="T51" i="16"/>
  <c r="CK51" i="16"/>
  <c r="CA51" i="16"/>
  <c r="CI51" i="16" s="1"/>
  <c r="CJ51" i="16"/>
  <c r="CK30" i="16"/>
  <c r="CA30" i="16"/>
  <c r="CI30" i="16" s="1"/>
  <c r="CJ30" i="16"/>
  <c r="T13" i="16"/>
  <c r="CK13" i="16"/>
  <c r="CA13" i="16"/>
  <c r="CI13" i="16" s="1"/>
  <c r="CJ13" i="16"/>
  <c r="T37" i="16"/>
  <c r="CK37" i="16"/>
  <c r="CA37" i="16"/>
  <c r="CI37" i="16" s="1"/>
  <c r="CJ37" i="16"/>
  <c r="CK16" i="16"/>
  <c r="CA16" i="16"/>
  <c r="CI16" i="16" s="1"/>
  <c r="CJ16" i="16"/>
  <c r="CK19" i="16"/>
  <c r="CA19" i="16"/>
  <c r="CI19" i="16" s="1"/>
  <c r="CJ19" i="16"/>
  <c r="CM36" i="16"/>
  <c r="CM39" i="16"/>
  <c r="CK45" i="16"/>
  <c r="CA45" i="16"/>
  <c r="CI45" i="16" s="1"/>
  <c r="CJ45" i="16"/>
  <c r="T49" i="16"/>
  <c r="CK49" i="16"/>
  <c r="CA49" i="16"/>
  <c r="CI49" i="16" s="1"/>
  <c r="CJ49" i="16"/>
  <c r="T8" i="16"/>
  <c r="CK8" i="16"/>
  <c r="CA8" i="16"/>
  <c r="CI8" i="16" s="1"/>
  <c r="CJ8" i="16"/>
  <c r="CK9" i="16"/>
  <c r="CA9" i="16"/>
  <c r="CI9" i="16" s="1"/>
  <c r="CJ9" i="16"/>
  <c r="CM23" i="16"/>
  <c r="CM7" i="16"/>
  <c r="CA4" i="16"/>
  <c r="CI4" i="16" s="1"/>
  <c r="CJ4" i="16"/>
  <c r="CK4" i="16"/>
  <c r="BN6" i="8"/>
  <c r="BC27" i="2"/>
  <c r="BD27" i="2" s="1"/>
  <c r="BR47" i="8"/>
  <c r="BO21" i="8"/>
  <c r="BO10" i="8"/>
  <c r="BO19" i="8"/>
  <c r="BO50" i="8"/>
  <c r="BR29" i="8"/>
  <c r="BR6" i="8"/>
  <c r="AZ42" i="2"/>
  <c r="BR27" i="8"/>
  <c r="BO26" i="8"/>
  <c r="BN17" i="8"/>
  <c r="Z10" i="2"/>
  <c r="AA10" i="2" s="1"/>
  <c r="Z45" i="2"/>
  <c r="AA45" i="2" s="1"/>
  <c r="B30" i="25"/>
  <c r="BN19" i="8"/>
  <c r="BN29" i="8"/>
  <c r="BR9" i="8"/>
  <c r="BR31" i="8"/>
  <c r="BO43" i="8"/>
  <c r="BO8" i="8"/>
  <c r="BO29" i="8"/>
  <c r="BN45" i="8"/>
  <c r="AW27" i="2"/>
  <c r="AX27" i="2" s="1"/>
  <c r="BR38" i="8"/>
  <c r="BN7" i="8"/>
  <c r="BO41" i="8"/>
  <c r="BO53" i="8"/>
  <c r="BO20" i="8"/>
  <c r="BO52" i="8"/>
  <c r="BR42" i="8"/>
  <c r="BO7" i="8"/>
  <c r="BO32" i="8"/>
  <c r="BO54" i="8"/>
  <c r="BO40" i="8"/>
  <c r="BO27" i="8"/>
  <c r="BO46" i="8"/>
  <c r="BN23" i="8"/>
  <c r="BA5" i="2"/>
  <c r="BB5" i="2" s="1"/>
  <c r="BR24" i="8"/>
  <c r="BO22" i="8"/>
  <c r="BO23" i="8"/>
  <c r="T4" i="2"/>
  <c r="B29" i="22"/>
  <c r="BO12" i="8"/>
  <c r="BO45" i="8"/>
  <c r="BO38" i="8"/>
  <c r="BN14" i="8"/>
  <c r="BR36" i="8"/>
  <c r="BR16" i="8"/>
  <c r="BR46" i="8"/>
  <c r="BR11" i="8"/>
  <c r="BR39" i="8"/>
  <c r="BR53" i="8"/>
  <c r="BO36" i="8"/>
  <c r="BO47" i="8"/>
  <c r="BO48" i="8"/>
  <c r="BO44" i="8"/>
  <c r="AZ5" i="2"/>
  <c r="BC5" i="2"/>
  <c r="BD5" i="2" s="1"/>
  <c r="AD47" i="2"/>
  <c r="AE47" i="2" s="1"/>
  <c r="BC42" i="2"/>
  <c r="BD42" i="2" s="1"/>
  <c r="T39" i="2"/>
  <c r="BN15" i="8"/>
  <c r="BR33" i="8"/>
  <c r="BR26" i="8"/>
  <c r="BR25" i="8"/>
  <c r="BR30" i="8"/>
  <c r="BN54" i="8"/>
  <c r="BN37" i="8"/>
  <c r="BN42" i="8"/>
  <c r="BN18" i="8"/>
  <c r="BN21" i="8"/>
  <c r="BN35" i="8"/>
  <c r="BR23" i="8"/>
  <c r="BN16" i="8"/>
  <c r="BN51" i="8"/>
  <c r="BN9" i="8"/>
  <c r="BA27" i="2"/>
  <c r="BB27" i="2" s="1"/>
  <c r="BR37" i="8"/>
  <c r="BR51" i="8"/>
  <c r="BR14" i="8"/>
  <c r="BR52" i="8"/>
  <c r="BR12" i="8"/>
  <c r="BN32" i="8"/>
  <c r="BN46" i="8"/>
  <c r="BN43" i="8"/>
  <c r="BR34" i="8"/>
  <c r="BR50" i="8"/>
  <c r="BR21" i="8"/>
  <c r="BN36" i="8"/>
  <c r="BR13" i="8"/>
  <c r="BR10" i="8"/>
  <c r="BR19" i="8"/>
  <c r="Z41" i="2"/>
  <c r="AA41" i="2" s="1"/>
  <c r="BR18" i="8"/>
  <c r="BR44" i="8"/>
  <c r="BR20" i="8"/>
  <c r="BR4" i="8"/>
  <c r="BR41" i="8"/>
  <c r="BR5" i="8"/>
  <c r="BN10" i="8"/>
  <c r="BN13" i="8"/>
  <c r="BN28" i="8"/>
  <c r="BN50" i="8"/>
  <c r="BN27" i="8"/>
  <c r="BN38" i="8"/>
  <c r="BR48" i="8"/>
  <c r="BN24" i="8"/>
  <c r="BN39" i="8"/>
  <c r="BN8" i="8"/>
  <c r="BN12" i="8"/>
  <c r="BN26" i="8"/>
  <c r="BN47" i="8"/>
  <c r="BN52" i="8"/>
  <c r="BR28" i="8"/>
  <c r="BR45" i="8"/>
  <c r="V42" i="2"/>
  <c r="W42" i="2" s="1"/>
  <c r="AW42" i="2"/>
  <c r="AX42" i="2" s="1"/>
  <c r="BR32" i="8"/>
  <c r="BR40" i="8"/>
  <c r="BR22" i="8"/>
  <c r="BR35" i="8"/>
  <c r="BR49" i="8"/>
  <c r="BN33" i="8"/>
  <c r="BN48" i="8"/>
  <c r="BN22" i="8"/>
  <c r="T48" i="2"/>
  <c r="AD29" i="2"/>
  <c r="AE29" i="2" s="1"/>
  <c r="BN49" i="8"/>
  <c r="T50" i="2"/>
  <c r="BN34" i="8"/>
  <c r="BN53" i="8"/>
  <c r="BN5" i="8"/>
  <c r="BN11" i="8"/>
  <c r="BN44" i="8"/>
  <c r="BN4" i="8"/>
  <c r="BR43" i="8"/>
  <c r="BR15" i="8"/>
  <c r="BR8" i="8"/>
  <c r="BR7" i="8"/>
  <c r="BR17" i="8"/>
  <c r="BN40" i="8"/>
  <c r="BN25" i="8"/>
  <c r="BN31" i="8"/>
  <c r="Z31" i="2"/>
  <c r="AA31" i="2" s="1"/>
  <c r="BO33" i="8"/>
  <c r="BO49" i="8"/>
  <c r="BO15" i="8"/>
  <c r="BO31" i="8"/>
  <c r="BO6" i="8"/>
  <c r="BO5" i="8"/>
  <c r="BO30" i="8"/>
  <c r="BO35" i="8"/>
  <c r="BO51" i="8"/>
  <c r="BO34" i="8"/>
  <c r="BO25" i="8"/>
  <c r="BO4" i="8"/>
  <c r="M77" i="3"/>
  <c r="BP35" i="8" s="1"/>
  <c r="BO18" i="8"/>
  <c r="BO9" i="8"/>
  <c r="BO39" i="8"/>
  <c r="BO11" i="8"/>
  <c r="BO14" i="8"/>
  <c r="BO13" i="8"/>
  <c r="BO37" i="8"/>
  <c r="BO42" i="8"/>
  <c r="BO28" i="8"/>
  <c r="BO24" i="8"/>
  <c r="BO17" i="8"/>
  <c r="BA25" i="2"/>
  <c r="BB25" i="2" s="1"/>
  <c r="O54" i="8"/>
  <c r="AW25" i="2"/>
  <c r="AX25" i="2" s="1"/>
  <c r="BC25" i="2"/>
  <c r="BD25" i="2" s="1"/>
  <c r="V53" i="2"/>
  <c r="W53" i="2" s="1"/>
  <c r="V8" i="8"/>
  <c r="W8" i="8" s="1"/>
  <c r="CC49" i="9"/>
  <c r="O42" i="8"/>
  <c r="CG42" i="8"/>
  <c r="CK42" i="8" s="1"/>
  <c r="CS42" i="8" s="1"/>
  <c r="CT42" i="8" s="1"/>
  <c r="CU42" i="8" s="1"/>
  <c r="P6" i="8"/>
  <c r="CG6" i="8"/>
  <c r="CK6" i="8" s="1"/>
  <c r="CS6" i="8" s="1"/>
  <c r="CT6" i="8" s="1"/>
  <c r="CU6" i="8" s="1"/>
  <c r="N23" i="8"/>
  <c r="CG23" i="8"/>
  <c r="CK23" i="8" s="1"/>
  <c r="CS23" i="8" s="1"/>
  <c r="CT23" i="8" s="1"/>
  <c r="CU23" i="8" s="1"/>
  <c r="N28" i="8"/>
  <c r="CG28" i="8"/>
  <c r="CK28" i="8" s="1"/>
  <c r="CS28" i="8" s="1"/>
  <c r="CT28" i="8" s="1"/>
  <c r="CU28" i="8" s="1"/>
  <c r="N20" i="8"/>
  <c r="CG20" i="8"/>
  <c r="CK20" i="8" s="1"/>
  <c r="CS20" i="8" s="1"/>
  <c r="CT20" i="8" s="1"/>
  <c r="CU20" i="8" s="1"/>
  <c r="AZ44" i="2"/>
  <c r="N43" i="8"/>
  <c r="CG43" i="8"/>
  <c r="CK43" i="8" s="1"/>
  <c r="CS43" i="8" s="1"/>
  <c r="CT43" i="8" s="1"/>
  <c r="CU43" i="8" s="1"/>
  <c r="N15" i="8"/>
  <c r="CG15" i="8"/>
  <c r="CK15" i="8" s="1"/>
  <c r="CS15" i="8" s="1"/>
  <c r="CT15" i="8" s="1"/>
  <c r="CU15" i="8" s="1"/>
  <c r="N38" i="8"/>
  <c r="CG38" i="8"/>
  <c r="CK38" i="8" s="1"/>
  <c r="CS38" i="8" s="1"/>
  <c r="CT38" i="8" s="1"/>
  <c r="CU38" i="8" s="1"/>
  <c r="N48" i="8"/>
  <c r="CG48" i="8"/>
  <c r="CK48" i="8" s="1"/>
  <c r="CS48" i="8" s="1"/>
  <c r="CT48" i="8" s="1"/>
  <c r="CU48" i="8" s="1"/>
  <c r="P31" i="8"/>
  <c r="CG31" i="8"/>
  <c r="CK31" i="8" s="1"/>
  <c r="CS31" i="8" s="1"/>
  <c r="CT31" i="8" s="1"/>
  <c r="CU31" i="8" s="1"/>
  <c r="BC44" i="2"/>
  <c r="BD44" i="2" s="1"/>
  <c r="P49" i="8"/>
  <c r="CG49" i="8"/>
  <c r="CK49" i="8" s="1"/>
  <c r="CS49" i="8" s="1"/>
  <c r="CT49" i="8" s="1"/>
  <c r="CU49" i="8" s="1"/>
  <c r="O51" i="8"/>
  <c r="CG51" i="8"/>
  <c r="CK51" i="8" s="1"/>
  <c r="CS51" i="8" s="1"/>
  <c r="CT51" i="8" s="1"/>
  <c r="CU51" i="8" s="1"/>
  <c r="P7" i="8"/>
  <c r="CG7" i="8"/>
  <c r="CK7" i="8" s="1"/>
  <c r="CS7" i="8" s="1"/>
  <c r="CT7" i="8" s="1"/>
  <c r="CU7" i="8" s="1"/>
  <c r="P46" i="8"/>
  <c r="CG46" i="8"/>
  <c r="CK46" i="8" s="1"/>
  <c r="CS46" i="8" s="1"/>
  <c r="CT46" i="8" s="1"/>
  <c r="CU46" i="8" s="1"/>
  <c r="P14" i="8"/>
  <c r="CG14" i="8"/>
  <c r="CK14" i="8" s="1"/>
  <c r="CS14" i="8" s="1"/>
  <c r="CT14" i="8" s="1"/>
  <c r="CU14" i="8" s="1"/>
  <c r="N24" i="8"/>
  <c r="CG24" i="8"/>
  <c r="CK24" i="8" s="1"/>
  <c r="CS24" i="8" s="1"/>
  <c r="CT24" i="8" s="1"/>
  <c r="CU24" i="8" s="1"/>
  <c r="BA44" i="2"/>
  <c r="BB44" i="2" s="1"/>
  <c r="N39" i="8"/>
  <c r="CG39" i="8"/>
  <c r="CK39" i="8" s="1"/>
  <c r="CS39" i="8" s="1"/>
  <c r="CT39" i="8" s="1"/>
  <c r="CU39" i="8" s="1"/>
  <c r="O26" i="8"/>
  <c r="CG26" i="8"/>
  <c r="CK26" i="8" s="1"/>
  <c r="CS26" i="8" s="1"/>
  <c r="CT26" i="8" s="1"/>
  <c r="CU26" i="8" s="1"/>
  <c r="P11" i="8"/>
  <c r="CG11" i="8"/>
  <c r="CK11" i="8" s="1"/>
  <c r="CS11" i="8" s="1"/>
  <c r="CT11" i="8" s="1"/>
  <c r="CU11" i="8" s="1"/>
  <c r="O13" i="8"/>
  <c r="CG13" i="8"/>
  <c r="CK13" i="8" s="1"/>
  <c r="CS13" i="8" s="1"/>
  <c r="CT13" i="8" s="1"/>
  <c r="CU13" i="8" s="1"/>
  <c r="O18" i="8"/>
  <c r="CG18" i="8"/>
  <c r="CK18" i="8" s="1"/>
  <c r="CS18" i="8" s="1"/>
  <c r="CT18" i="8" s="1"/>
  <c r="CU18" i="8" s="1"/>
  <c r="N37" i="8"/>
  <c r="CG37" i="8"/>
  <c r="CK37" i="8" s="1"/>
  <c r="CS37" i="8" s="1"/>
  <c r="CT37" i="8" s="1"/>
  <c r="CU37" i="8" s="1"/>
  <c r="P41" i="8"/>
  <c r="CG41" i="8"/>
  <c r="CK41" i="8" s="1"/>
  <c r="CS41" i="8" s="1"/>
  <c r="CT41" i="8" s="1"/>
  <c r="CU41" i="8" s="1"/>
  <c r="O22" i="8"/>
  <c r="CG22" i="8"/>
  <c r="CK22" i="8" s="1"/>
  <c r="CS22" i="8" s="1"/>
  <c r="CT22" i="8" s="1"/>
  <c r="CU22" i="8" s="1"/>
  <c r="O29" i="8"/>
  <c r="CG29" i="8"/>
  <c r="CK29" i="8" s="1"/>
  <c r="CS29" i="8" s="1"/>
  <c r="CT29" i="8" s="1"/>
  <c r="CU29" i="8" s="1"/>
  <c r="O50" i="8"/>
  <c r="CG50" i="8"/>
  <c r="CK50" i="8" s="1"/>
  <c r="CS50" i="8" s="1"/>
  <c r="CT50" i="8" s="1"/>
  <c r="CU50" i="8" s="1"/>
  <c r="N52" i="8"/>
  <c r="CG52" i="8"/>
  <c r="CK52" i="8" s="1"/>
  <c r="CS52" i="8" s="1"/>
  <c r="CT52" i="8" s="1"/>
  <c r="CU52" i="8" s="1"/>
  <c r="N40" i="8"/>
  <c r="CG40" i="8"/>
  <c r="CK40" i="8" s="1"/>
  <c r="CS40" i="8" s="1"/>
  <c r="CT40" i="8" s="1"/>
  <c r="CU40" i="8" s="1"/>
  <c r="N45" i="8"/>
  <c r="CG45" i="8"/>
  <c r="CK45" i="8" s="1"/>
  <c r="CS45" i="8" s="1"/>
  <c r="CT45" i="8" s="1"/>
  <c r="CU45" i="8" s="1"/>
  <c r="N32" i="8"/>
  <c r="CG32" i="8"/>
  <c r="CK32" i="8" s="1"/>
  <c r="CS32" i="8" s="1"/>
  <c r="CT32" i="8" s="1"/>
  <c r="CU32" i="8" s="1"/>
  <c r="P19" i="8"/>
  <c r="CG19" i="8"/>
  <c r="CK19" i="8" s="1"/>
  <c r="CS19" i="8" s="1"/>
  <c r="CT19" i="8" s="1"/>
  <c r="CU19" i="8" s="1"/>
  <c r="O5" i="8"/>
  <c r="CG5" i="8"/>
  <c r="CK5" i="8" s="1"/>
  <c r="CS5" i="8" s="1"/>
  <c r="CT5" i="8" s="1"/>
  <c r="CU5" i="8" s="1"/>
  <c r="N12" i="8"/>
  <c r="CG12" i="8"/>
  <c r="CK12" i="8" s="1"/>
  <c r="CS12" i="8" s="1"/>
  <c r="CT12" i="8" s="1"/>
  <c r="CU12" i="8" s="1"/>
  <c r="N53" i="8"/>
  <c r="CG53" i="8"/>
  <c r="CK53" i="8" s="1"/>
  <c r="CS53" i="8" s="1"/>
  <c r="CT53" i="8" s="1"/>
  <c r="CU53" i="8" s="1"/>
  <c r="N36" i="8"/>
  <c r="CG36" i="8"/>
  <c r="CK36" i="8" s="1"/>
  <c r="CS36" i="8" s="1"/>
  <c r="CT36" i="8" s="1"/>
  <c r="CU36" i="8" s="1"/>
  <c r="N16" i="8"/>
  <c r="CG16" i="8"/>
  <c r="CK16" i="8" s="1"/>
  <c r="CS16" i="8" s="1"/>
  <c r="CT16" i="8" s="1"/>
  <c r="CU16" i="8" s="1"/>
  <c r="N44" i="8"/>
  <c r="CG44" i="8"/>
  <c r="CK44" i="8" s="1"/>
  <c r="CS44" i="8" s="1"/>
  <c r="CT44" i="8" s="1"/>
  <c r="CU44" i="8" s="1"/>
  <c r="P47" i="8"/>
  <c r="CG47" i="8"/>
  <c r="CK47" i="8" s="1"/>
  <c r="CS47" i="8" s="1"/>
  <c r="CT47" i="8" s="1"/>
  <c r="CU47" i="8" s="1"/>
  <c r="N8" i="8"/>
  <c r="CG8" i="8"/>
  <c r="CK8" i="8" s="1"/>
  <c r="CS8" i="8" s="1"/>
  <c r="CT8" i="8" s="1"/>
  <c r="CU8" i="8" s="1"/>
  <c r="O34" i="8"/>
  <c r="CG34" i="8"/>
  <c r="CK34" i="8" s="1"/>
  <c r="CS34" i="8" s="1"/>
  <c r="CT34" i="8" s="1"/>
  <c r="CU34" i="8" s="1"/>
  <c r="O9" i="8"/>
  <c r="CG9" i="8"/>
  <c r="CK9" i="8" s="1"/>
  <c r="CS9" i="8" s="1"/>
  <c r="CT9" i="8" s="1"/>
  <c r="CU9" i="8" s="1"/>
  <c r="N33" i="8"/>
  <c r="CG33" i="8"/>
  <c r="CK33" i="8" s="1"/>
  <c r="CS33" i="8" s="1"/>
  <c r="CT33" i="8" s="1"/>
  <c r="CU33" i="8" s="1"/>
  <c r="P21" i="8"/>
  <c r="CG21" i="8"/>
  <c r="CK21" i="8" s="1"/>
  <c r="CS21" i="8" s="1"/>
  <c r="CT21" i="8" s="1"/>
  <c r="CU21" i="8" s="1"/>
  <c r="AD13" i="2"/>
  <c r="AE13" i="2" s="1"/>
  <c r="N35" i="8"/>
  <c r="CG35" i="8"/>
  <c r="CK35" i="8" s="1"/>
  <c r="CS35" i="8" s="1"/>
  <c r="CT35" i="8" s="1"/>
  <c r="CU35" i="8" s="1"/>
  <c r="O30" i="8"/>
  <c r="CG30" i="8"/>
  <c r="CK30" i="8" s="1"/>
  <c r="CS30" i="8" s="1"/>
  <c r="CT30" i="8" s="1"/>
  <c r="CU30" i="8" s="1"/>
  <c r="O10" i="8"/>
  <c r="CG10" i="8"/>
  <c r="CK10" i="8" s="1"/>
  <c r="CS10" i="8" s="1"/>
  <c r="CT10" i="8" s="1"/>
  <c r="CU10" i="8" s="1"/>
  <c r="P17" i="8"/>
  <c r="CG17" i="8"/>
  <c r="CK17" i="8" s="1"/>
  <c r="CS17" i="8" s="1"/>
  <c r="CT17" i="8" s="1"/>
  <c r="CU17" i="8" s="1"/>
  <c r="P25" i="8"/>
  <c r="CG25" i="8"/>
  <c r="CK25" i="8" s="1"/>
  <c r="CS25" i="8" s="1"/>
  <c r="CT25" i="8" s="1"/>
  <c r="CU25" i="8" s="1"/>
  <c r="N27" i="8"/>
  <c r="CG27" i="8"/>
  <c r="CK27" i="8" s="1"/>
  <c r="CS27" i="8" s="1"/>
  <c r="CT27" i="8" s="1"/>
  <c r="CU27" i="8" s="1"/>
  <c r="CC21" i="9"/>
  <c r="T22" i="8"/>
  <c r="P22" i="8"/>
  <c r="N25" i="8"/>
  <c r="N29" i="8"/>
  <c r="N54" i="8"/>
  <c r="P54" i="8"/>
  <c r="N19" i="8"/>
  <c r="O19" i="8"/>
  <c r="O20" i="8"/>
  <c r="O31" i="8"/>
  <c r="P20" i="8"/>
  <c r="O8" i="8"/>
  <c r="N22" i="8"/>
  <c r="P29" i="8"/>
  <c r="O27" i="8"/>
  <c r="O28" i="8"/>
  <c r="V27" i="8"/>
  <c r="W27" i="8" s="1"/>
  <c r="P28" i="8"/>
  <c r="T25" i="8"/>
  <c r="N31" i="8"/>
  <c r="P27" i="8"/>
  <c r="O25" i="8"/>
  <c r="BC12" i="8"/>
  <c r="BD12" i="8" s="1"/>
  <c r="O47" i="8"/>
  <c r="P10" i="8"/>
  <c r="N47" i="8"/>
  <c r="AZ6" i="8"/>
  <c r="O44" i="8"/>
  <c r="P8" i="8"/>
  <c r="O16" i="8"/>
  <c r="P16" i="8"/>
  <c r="O24" i="8"/>
  <c r="N14" i="8"/>
  <c r="P48" i="8"/>
  <c r="P37" i="8"/>
  <c r="O14" i="8"/>
  <c r="O37" i="8"/>
  <c r="T37" i="8"/>
  <c r="AD15" i="8"/>
  <c r="AE15" i="8" s="1"/>
  <c r="O41" i="8"/>
  <c r="AW12" i="8"/>
  <c r="AX12" i="8" s="1"/>
  <c r="N41" i="8"/>
  <c r="P24" i="8"/>
  <c r="T48" i="8"/>
  <c r="O46" i="8"/>
  <c r="P33" i="8"/>
  <c r="T24" i="8"/>
  <c r="AZ12" i="8"/>
  <c r="T33" i="8"/>
  <c r="O48" i="8"/>
  <c r="N10" i="8"/>
  <c r="P44" i="8"/>
  <c r="O33" i="8"/>
  <c r="P32" i="8"/>
  <c r="P38" i="8"/>
  <c r="O32" i="8"/>
  <c r="N11" i="8"/>
  <c r="O23" i="8"/>
  <c r="O11" i="8"/>
  <c r="O45" i="8"/>
  <c r="P15" i="8"/>
  <c r="P5" i="8"/>
  <c r="T5" i="8"/>
  <c r="N5" i="8"/>
  <c r="N13" i="8"/>
  <c r="P30" i="8"/>
  <c r="N21" i="8"/>
  <c r="O52" i="8"/>
  <c r="P34" i="8"/>
  <c r="N17" i="8"/>
  <c r="N30" i="8"/>
  <c r="N34" i="8"/>
  <c r="O53" i="8"/>
  <c r="O17" i="8"/>
  <c r="P39" i="8"/>
  <c r="P26" i="8"/>
  <c r="O21" i="8"/>
  <c r="O39" i="8"/>
  <c r="P53" i="8"/>
  <c r="N46" i="8"/>
  <c r="P18" i="8"/>
  <c r="O38" i="8"/>
  <c r="O15" i="8"/>
  <c r="P45" i="8"/>
  <c r="O35" i="8"/>
  <c r="P51" i="8"/>
  <c r="P9" i="8"/>
  <c r="O36" i="8"/>
  <c r="V52" i="8"/>
  <c r="W52" i="8" s="1"/>
  <c r="N49" i="8"/>
  <c r="P35" i="8"/>
  <c r="N51" i="8"/>
  <c r="N7" i="8"/>
  <c r="P42" i="8"/>
  <c r="N18" i="8"/>
  <c r="P36" i="8"/>
  <c r="P50" i="8"/>
  <c r="AW6" i="8"/>
  <c r="AX6" i="8" s="1"/>
  <c r="O49" i="8"/>
  <c r="O7" i="8"/>
  <c r="N42" i="8"/>
  <c r="P43" i="8"/>
  <c r="O6" i="8"/>
  <c r="N9" i="8"/>
  <c r="BA6" i="8"/>
  <c r="BB6" i="8" s="1"/>
  <c r="P40" i="8"/>
  <c r="O43" i="8"/>
  <c r="N6" i="8"/>
  <c r="P13" i="8"/>
  <c r="P23" i="8"/>
  <c r="P12" i="8"/>
  <c r="Z36" i="8"/>
  <c r="N50" i="8"/>
  <c r="Z38" i="8"/>
  <c r="O40" i="8"/>
  <c r="N26" i="8"/>
  <c r="P52" i="8"/>
  <c r="O12" i="8"/>
  <c r="T8" i="2"/>
  <c r="V46" i="2"/>
  <c r="W46" i="2" s="1"/>
  <c r="V32" i="2"/>
  <c r="W32" i="2" s="1"/>
  <c r="T36" i="2"/>
  <c r="V37" i="2"/>
  <c r="W37" i="2" s="1"/>
  <c r="V21" i="2"/>
  <c r="W21" i="2" s="1"/>
  <c r="T44" i="2"/>
  <c r="T47" i="2"/>
  <c r="V16" i="2"/>
  <c r="W16" i="2" s="1"/>
  <c r="T54" i="2"/>
  <c r="V34" i="2"/>
  <c r="W34" i="2" s="1"/>
  <c r="T17" i="2"/>
  <c r="V33" i="2"/>
  <c r="W33" i="2" s="1"/>
  <c r="V13" i="2"/>
  <c r="W13" i="2" s="1"/>
  <c r="V45" i="2"/>
  <c r="W45" i="2" s="1"/>
  <c r="V41" i="2"/>
  <c r="W41" i="2" s="1"/>
  <c r="V26" i="2"/>
  <c r="W26" i="2" s="1"/>
  <c r="V15" i="2"/>
  <c r="W15" i="2" s="1"/>
  <c r="T24" i="2"/>
  <c r="V11" i="2"/>
  <c r="W11" i="2" s="1"/>
  <c r="T26" i="2"/>
  <c r="V4" i="2"/>
  <c r="AX47" i="16"/>
  <c r="AY47" i="16" s="1"/>
  <c r="AZ16" i="16"/>
  <c r="AZ47" i="16"/>
  <c r="BD47" i="16"/>
  <c r="BE47" i="16" s="1"/>
  <c r="BA47" i="16"/>
  <c r="R9" i="16"/>
  <c r="T9" i="16"/>
  <c r="DA9" i="16"/>
  <c r="CV9" i="16"/>
  <c r="BD23" i="16"/>
  <c r="BE23" i="16" s="1"/>
  <c r="AX23" i="16"/>
  <c r="AY23" i="16" s="1"/>
  <c r="AZ23" i="16"/>
  <c r="BB23" i="16"/>
  <c r="BC23" i="16" s="1"/>
  <c r="AD49" i="2"/>
  <c r="AE49" i="2" s="1"/>
  <c r="S23" i="16"/>
  <c r="T23" i="16" s="1"/>
  <c r="CV23" i="16"/>
  <c r="CV24" i="16"/>
  <c r="DA24" i="16"/>
  <c r="CV36" i="16"/>
  <c r="DA36" i="16"/>
  <c r="CV52" i="16"/>
  <c r="DA52" i="16"/>
  <c r="DA21" i="16"/>
  <c r="CV21" i="16"/>
  <c r="CV10" i="16"/>
  <c r="DA10" i="16"/>
  <c r="DA6" i="16"/>
  <c r="CV6" i="16"/>
  <c r="DA40" i="16"/>
  <c r="CV40" i="16"/>
  <c r="CV12" i="16"/>
  <c r="DA12" i="16"/>
  <c r="CV35" i="16"/>
  <c r="DA35" i="16"/>
  <c r="T53" i="16"/>
  <c r="DA33" i="16"/>
  <c r="CV33" i="16"/>
  <c r="DA29" i="16"/>
  <c r="CV29" i="16"/>
  <c r="DA14" i="16"/>
  <c r="CV14" i="16"/>
  <c r="CV11" i="16"/>
  <c r="DA11" i="16"/>
  <c r="DA18" i="16"/>
  <c r="CV18" i="16"/>
  <c r="CV34" i="16"/>
  <c r="DA34" i="16"/>
  <c r="CV19" i="16"/>
  <c r="DA19" i="16"/>
  <c r="CV45" i="16"/>
  <c r="DA45" i="16"/>
  <c r="CV22" i="16"/>
  <c r="DA22" i="16"/>
  <c r="CV43" i="16"/>
  <c r="DA43" i="16"/>
  <c r="DA30" i="16"/>
  <c r="CV30" i="16"/>
  <c r="DA39" i="16"/>
  <c r="CV39" i="16"/>
  <c r="DA25" i="16"/>
  <c r="CV25" i="16"/>
  <c r="DA54" i="16"/>
  <c r="CV54" i="16"/>
  <c r="DA27" i="16"/>
  <c r="CV27" i="16"/>
  <c r="CV26" i="16"/>
  <c r="DA26" i="16"/>
  <c r="DA17" i="16"/>
  <c r="CV17" i="16"/>
  <c r="DA15" i="16"/>
  <c r="CV15" i="16"/>
  <c r="CV44" i="16"/>
  <c r="DA44" i="16"/>
  <c r="CV28" i="16"/>
  <c r="DA28" i="16"/>
  <c r="CV20" i="16"/>
  <c r="DA20" i="16"/>
  <c r="CV31" i="16"/>
  <c r="DA31" i="16"/>
  <c r="DA7" i="16"/>
  <c r="CV7" i="16"/>
  <c r="CV32" i="16"/>
  <c r="DA32" i="16"/>
  <c r="DA5" i="16"/>
  <c r="CV5" i="16"/>
  <c r="CV47" i="16"/>
  <c r="DA47" i="16"/>
  <c r="BA4" i="16"/>
  <c r="BB4" i="16"/>
  <c r="BC4" i="16" s="1"/>
  <c r="T4" i="16"/>
  <c r="Z4" i="2"/>
  <c r="AA4" i="2" s="1"/>
  <c r="Z49" i="2"/>
  <c r="AA49" i="2" s="1"/>
  <c r="BD4" i="16"/>
  <c r="BE4" i="16" s="1"/>
  <c r="BB37" i="16"/>
  <c r="BC37" i="16" s="1"/>
  <c r="AZ4" i="16"/>
  <c r="BD37" i="16"/>
  <c r="BE37" i="16" s="1"/>
  <c r="AZ37" i="16"/>
  <c r="S10" i="16"/>
  <c r="R10" i="16" s="1"/>
  <c r="BB50" i="16"/>
  <c r="BC50" i="16" s="1"/>
  <c r="AZ4" i="2"/>
  <c r="BA50" i="16"/>
  <c r="BA4" i="2"/>
  <c r="BB4" i="2" s="1"/>
  <c r="AZ50" i="16"/>
  <c r="S34" i="16"/>
  <c r="R34" i="16" s="1"/>
  <c r="S19" i="16"/>
  <c r="T19" i="16" s="1"/>
  <c r="S18" i="16"/>
  <c r="T18" i="16" s="1"/>
  <c r="BC4" i="2"/>
  <c r="BD4" i="2" s="1"/>
  <c r="BD50" i="16"/>
  <c r="BE50" i="16" s="1"/>
  <c r="S15" i="16"/>
  <c r="T15" i="16" s="1"/>
  <c r="S47" i="16"/>
  <c r="T47" i="16" s="1"/>
  <c r="AX53" i="16"/>
  <c r="AY53" i="16" s="1"/>
  <c r="Z19" i="2"/>
  <c r="AA19" i="2" s="1"/>
  <c r="BD21" i="16"/>
  <c r="BE21" i="16" s="1"/>
  <c r="BA21" i="16"/>
  <c r="BD53" i="16"/>
  <c r="BE53" i="16" s="1"/>
  <c r="AZ21" i="16"/>
  <c r="BD38" i="16"/>
  <c r="BE38" i="16" s="1"/>
  <c r="BA22" i="8"/>
  <c r="BB22" i="8" s="1"/>
  <c r="AD4" i="2"/>
  <c r="AE4" i="2" s="1"/>
  <c r="BB38" i="16"/>
  <c r="BC38" i="16" s="1"/>
  <c r="BC22" i="8"/>
  <c r="BD22" i="8" s="1"/>
  <c r="AD22" i="8"/>
  <c r="AE22" i="8" s="1"/>
  <c r="T16" i="16"/>
  <c r="AX38" i="16"/>
  <c r="AY38" i="16" s="1"/>
  <c r="AZ38" i="16"/>
  <c r="AD34" i="2"/>
  <c r="AE34" i="2" s="1"/>
  <c r="AX21" i="16"/>
  <c r="AY21" i="16" s="1"/>
  <c r="BD16" i="16"/>
  <c r="BE16" i="16" s="1"/>
  <c r="T10" i="8"/>
  <c r="BA53" i="16"/>
  <c r="AZ53" i="16"/>
  <c r="AZ35" i="16"/>
  <c r="BD35" i="16"/>
  <c r="BE35" i="16" s="1"/>
  <c r="AX16" i="16"/>
  <c r="AY16" i="16" s="1"/>
  <c r="BA35" i="16"/>
  <c r="AD19" i="2"/>
  <c r="AE19" i="2" s="1"/>
  <c r="T42" i="16"/>
  <c r="AX35" i="16"/>
  <c r="AY35" i="16" s="1"/>
  <c r="BB16" i="16"/>
  <c r="BC16" i="16" s="1"/>
  <c r="R16" i="16"/>
  <c r="AX37" i="16"/>
  <c r="AY37" i="16" s="1"/>
  <c r="S14" i="16"/>
  <c r="R14" i="16" s="1"/>
  <c r="S28" i="16"/>
  <c r="T28" i="16" s="1"/>
  <c r="BA42" i="16"/>
  <c r="S54" i="16"/>
  <c r="R54" i="16" s="1"/>
  <c r="S21" i="16"/>
  <c r="T21" i="16" s="1"/>
  <c r="S45" i="16"/>
  <c r="R45" i="16" s="1"/>
  <c r="S22" i="16"/>
  <c r="R22" i="16" s="1"/>
  <c r="S52" i="16"/>
  <c r="T52" i="16" s="1"/>
  <c r="S36" i="16"/>
  <c r="T36" i="16" s="1"/>
  <c r="S44" i="16"/>
  <c r="R44" i="16" s="1"/>
  <c r="S35" i="16"/>
  <c r="AX42" i="16"/>
  <c r="AY42" i="16" s="1"/>
  <c r="S5" i="16"/>
  <c r="T5" i="16" s="1"/>
  <c r="S25" i="16"/>
  <c r="R25" i="16" s="1"/>
  <c r="BD42" i="16"/>
  <c r="BE42" i="16" s="1"/>
  <c r="S33" i="16"/>
  <c r="T33" i="16" s="1"/>
  <c r="S43" i="16"/>
  <c r="T43" i="16" s="1"/>
  <c r="S40" i="16"/>
  <c r="T40" i="16" s="1"/>
  <c r="S24" i="16"/>
  <c r="T24" i="16" s="1"/>
  <c r="S6" i="16"/>
  <c r="R6" i="16" s="1"/>
  <c r="S31" i="16"/>
  <c r="R31" i="16" s="1"/>
  <c r="BB42" i="16"/>
  <c r="BC42" i="16" s="1"/>
  <c r="Z38" i="2"/>
  <c r="AA38" i="2" s="1"/>
  <c r="S26" i="16"/>
  <c r="T26" i="16" s="1"/>
  <c r="S12" i="16"/>
  <c r="T12" i="16" s="1"/>
  <c r="S11" i="16"/>
  <c r="T11" i="16" s="1"/>
  <c r="S32" i="16"/>
  <c r="R32" i="16" s="1"/>
  <c r="S17" i="16"/>
  <c r="T17" i="16" s="1"/>
  <c r="S20" i="16"/>
  <c r="T20" i="16" s="1"/>
  <c r="S39" i="16"/>
  <c r="T39" i="16" s="1"/>
  <c r="S29" i="16"/>
  <c r="T29" i="16" s="1"/>
  <c r="S27" i="16"/>
  <c r="T27" i="16" s="1"/>
  <c r="S30" i="16"/>
  <c r="R30" i="16" s="1"/>
  <c r="S7" i="16"/>
  <c r="T7" i="16" s="1"/>
  <c r="AD5" i="8"/>
  <c r="AE5" i="8" s="1"/>
  <c r="Z37" i="2"/>
  <c r="AA37" i="2" s="1"/>
  <c r="BA20" i="8"/>
  <c r="BB20" i="8" s="1"/>
  <c r="Z24" i="2"/>
  <c r="AA24" i="2" s="1"/>
  <c r="V54" i="8"/>
  <c r="AZ31" i="8"/>
  <c r="BA31" i="8"/>
  <c r="BB31" i="8" s="1"/>
  <c r="AD43" i="8"/>
  <c r="AE43" i="8" s="1"/>
  <c r="AD53" i="2"/>
  <c r="AE53" i="2" s="1"/>
  <c r="AD24" i="2"/>
  <c r="AE24" i="2" s="1"/>
  <c r="AN37" i="9"/>
  <c r="AO37" i="9" s="1"/>
  <c r="J114" i="3"/>
  <c r="BH25" i="9" s="1"/>
  <c r="AD46" i="2"/>
  <c r="AE46" i="2" s="1"/>
  <c r="AD31" i="2"/>
  <c r="AE31" i="2" s="1"/>
  <c r="V51" i="8"/>
  <c r="AQ37" i="9"/>
  <c r="AZ22" i="8"/>
  <c r="E114" i="3"/>
  <c r="BC20" i="8"/>
  <c r="BD20" i="8" s="1"/>
  <c r="Z33" i="8"/>
  <c r="AD50" i="2"/>
  <c r="AE50" i="2" s="1"/>
  <c r="AD20" i="8"/>
  <c r="AE20" i="8" s="1"/>
  <c r="AZ20" i="8"/>
  <c r="AD30" i="2"/>
  <c r="AE30" i="2" s="1"/>
  <c r="D114" i="3"/>
  <c r="AR37" i="9"/>
  <c r="AS37" i="9" s="1"/>
  <c r="T43" i="8"/>
  <c r="Z27" i="2"/>
  <c r="AA27" i="2" s="1"/>
  <c r="BB46" i="16"/>
  <c r="BC46" i="16" s="1"/>
  <c r="AZ36" i="8"/>
  <c r="V26" i="8"/>
  <c r="W26" i="8" s="1"/>
  <c r="B39" i="8"/>
  <c r="B92" i="25" s="1"/>
  <c r="Z30" i="2"/>
  <c r="AA30" i="2" s="1"/>
  <c r="AD4" i="8"/>
  <c r="AE4" i="8" s="1"/>
  <c r="Z20" i="8"/>
  <c r="AD8" i="8"/>
  <c r="AE8" i="8" s="1"/>
  <c r="AD30" i="8"/>
  <c r="AE30" i="8" s="1"/>
  <c r="Z54" i="8"/>
  <c r="Z8" i="8"/>
  <c r="Z47" i="9"/>
  <c r="Z34" i="9"/>
  <c r="R53" i="16"/>
  <c r="R50" i="16"/>
  <c r="Z25" i="9"/>
  <c r="AB41" i="16"/>
  <c r="R41" i="16"/>
  <c r="AQ44" i="9"/>
  <c r="AB22" i="16"/>
  <c r="AR44" i="9"/>
  <c r="AS44" i="9" s="1"/>
  <c r="Z39" i="8"/>
  <c r="AT44" i="9"/>
  <c r="AU44" i="9" s="1"/>
  <c r="Z20" i="2"/>
  <c r="AA20" i="2" s="1"/>
  <c r="Z12" i="2"/>
  <c r="AA12" i="2" s="1"/>
  <c r="AD14" i="2"/>
  <c r="AE14" i="2" s="1"/>
  <c r="AD33" i="2"/>
  <c r="AE33" i="2" s="1"/>
  <c r="AB27" i="16"/>
  <c r="Z27" i="9"/>
  <c r="T38" i="8"/>
  <c r="BC37" i="8"/>
  <c r="BD37" i="8" s="1"/>
  <c r="AD49" i="8"/>
  <c r="AE49" i="8" s="1"/>
  <c r="AX48" i="16"/>
  <c r="AY48" i="16" s="1"/>
  <c r="Z31" i="9"/>
  <c r="R42" i="16"/>
  <c r="BA10" i="2"/>
  <c r="BB10" i="2" s="1"/>
  <c r="AX49" i="16"/>
  <c r="AY49" i="16" s="1"/>
  <c r="BD49" i="16"/>
  <c r="BE49" i="16" s="1"/>
  <c r="AZ12" i="2"/>
  <c r="BA12" i="2"/>
  <c r="BB12" i="2" s="1"/>
  <c r="BA36" i="8"/>
  <c r="BB36" i="8" s="1"/>
  <c r="AZ10" i="2"/>
  <c r="BC54" i="2"/>
  <c r="BD54" i="2" s="1"/>
  <c r="BA49" i="2"/>
  <c r="BB49" i="2" s="1"/>
  <c r="AW10" i="2"/>
  <c r="AX10" i="2" s="1"/>
  <c r="AZ47" i="2"/>
  <c r="AW12" i="2"/>
  <c r="AX12" i="2" s="1"/>
  <c r="AX39" i="16"/>
  <c r="AY39" i="16" s="1"/>
  <c r="AD21" i="2"/>
  <c r="AE21" i="2" s="1"/>
  <c r="V41" i="8"/>
  <c r="AZ39" i="16"/>
  <c r="AZ4" i="8"/>
  <c r="AW29" i="2"/>
  <c r="AX29" i="2" s="1"/>
  <c r="AW43" i="8"/>
  <c r="AX43" i="8" s="1"/>
  <c r="AD38" i="8"/>
  <c r="AE38" i="8" s="1"/>
  <c r="AD22" i="2"/>
  <c r="AE22" i="2" s="1"/>
  <c r="BA39" i="16"/>
  <c r="BC21" i="2"/>
  <c r="BD21" i="2" s="1"/>
  <c r="AZ36" i="16"/>
  <c r="T33" i="2"/>
  <c r="T27" i="8"/>
  <c r="T21" i="2"/>
  <c r="AW43" i="2"/>
  <c r="AX43" i="2" s="1"/>
  <c r="Z35" i="2"/>
  <c r="AA35" i="2" s="1"/>
  <c r="AD15" i="2"/>
  <c r="AE15" i="2" s="1"/>
  <c r="Z47" i="8"/>
  <c r="AD17" i="2"/>
  <c r="AE17" i="2" s="1"/>
  <c r="BD39" i="16"/>
  <c r="BE39" i="16" s="1"/>
  <c r="T42" i="8"/>
  <c r="BC41" i="2"/>
  <c r="BD41" i="2" s="1"/>
  <c r="T41" i="2"/>
  <c r="Z33" i="2"/>
  <c r="AA33" i="2" s="1"/>
  <c r="T54" i="8"/>
  <c r="T36" i="8"/>
  <c r="V16" i="8"/>
  <c r="T29" i="8"/>
  <c r="AW25" i="8"/>
  <c r="AX25" i="8" s="1"/>
  <c r="BC21" i="8"/>
  <c r="BD21" i="8" s="1"/>
  <c r="AZ25" i="8"/>
  <c r="AD47" i="8"/>
  <c r="AE47" i="8" s="1"/>
  <c r="V20" i="8"/>
  <c r="W20" i="8" s="1"/>
  <c r="V25" i="8"/>
  <c r="AW31" i="2"/>
  <c r="AX31" i="2" s="1"/>
  <c r="BA24" i="16"/>
  <c r="Z46" i="2"/>
  <c r="AA46" i="2" s="1"/>
  <c r="T42" i="2"/>
  <c r="V24" i="2"/>
  <c r="Z5" i="2"/>
  <c r="AA5" i="2" s="1"/>
  <c r="Z6" i="8"/>
  <c r="Z47" i="2"/>
  <c r="AA47" i="2" s="1"/>
  <c r="Z42" i="2"/>
  <c r="AA42" i="2" s="1"/>
  <c r="AD42" i="8"/>
  <c r="AE42" i="8" s="1"/>
  <c r="Z9" i="2"/>
  <c r="AA9" i="2" s="1"/>
  <c r="AD27" i="2"/>
  <c r="AE27" i="2" s="1"/>
  <c r="T20" i="8"/>
  <c r="Z42" i="8"/>
  <c r="AW47" i="2"/>
  <c r="AX47" i="2" s="1"/>
  <c r="AW13" i="8"/>
  <c r="AX13" i="8" s="1"/>
  <c r="T23" i="8"/>
  <c r="AZ14" i="2"/>
  <c r="AW26" i="2"/>
  <c r="AX26" i="2" s="1"/>
  <c r="Z39" i="2"/>
  <c r="AA39" i="2" s="1"/>
  <c r="BA41" i="2"/>
  <c r="BB41" i="2" s="1"/>
  <c r="T8" i="8"/>
  <c r="AD39" i="8"/>
  <c r="AE39" i="8" s="1"/>
  <c r="AZ29" i="2"/>
  <c r="V39" i="8"/>
  <c r="AD25" i="8"/>
  <c r="AE25" i="8" s="1"/>
  <c r="AW36" i="8"/>
  <c r="AX36" i="8" s="1"/>
  <c r="AZ31" i="2"/>
  <c r="BC26" i="8"/>
  <c r="BD26" i="8" s="1"/>
  <c r="AX27" i="16"/>
  <c r="AY27" i="16" s="1"/>
  <c r="AW31" i="8"/>
  <c r="AX31" i="8" s="1"/>
  <c r="BC29" i="2"/>
  <c r="BD29" i="2" s="1"/>
  <c r="BC26" i="2"/>
  <c r="BD26" i="2" s="1"/>
  <c r="AW38" i="8"/>
  <c r="AX38" i="8" s="1"/>
  <c r="Z8" i="2"/>
  <c r="AA8" i="2" s="1"/>
  <c r="BC31" i="2"/>
  <c r="BD31" i="2" s="1"/>
  <c r="BA26" i="8"/>
  <c r="BB26" i="8" s="1"/>
  <c r="AW49" i="2"/>
  <c r="AX49" i="2" s="1"/>
  <c r="BA26" i="2"/>
  <c r="BB26" i="2" s="1"/>
  <c r="AD35" i="2"/>
  <c r="AE35" i="2" s="1"/>
  <c r="AW17" i="2"/>
  <c r="AX17" i="2" s="1"/>
  <c r="BD41" i="16"/>
  <c r="BE41" i="16" s="1"/>
  <c r="Z46" i="8"/>
  <c r="Z29" i="8"/>
  <c r="BD27" i="16"/>
  <c r="BE27" i="16" s="1"/>
  <c r="AD33" i="8"/>
  <c r="AE33" i="8" s="1"/>
  <c r="Z25" i="8"/>
  <c r="V24" i="8"/>
  <c r="W24" i="8" s="1"/>
  <c r="BB49" i="16"/>
  <c r="BC49" i="16" s="1"/>
  <c r="AX51" i="16"/>
  <c r="AY51" i="16" s="1"/>
  <c r="AZ49" i="2"/>
  <c r="AD28" i="8"/>
  <c r="AE28" i="8" s="1"/>
  <c r="AZ23" i="2"/>
  <c r="BA14" i="2"/>
  <c r="BB14" i="2" s="1"/>
  <c r="AD36" i="8"/>
  <c r="AE36" i="8" s="1"/>
  <c r="AD41" i="2"/>
  <c r="AE41" i="2" s="1"/>
  <c r="AD45" i="2"/>
  <c r="AE45" i="2" s="1"/>
  <c r="Z18" i="2"/>
  <c r="AA18" i="2" s="1"/>
  <c r="Z22" i="2"/>
  <c r="AA22" i="2" s="1"/>
  <c r="AD50" i="8"/>
  <c r="AE50" i="8" s="1"/>
  <c r="AW14" i="2"/>
  <c r="AX14" i="2" s="1"/>
  <c r="BA51" i="16"/>
  <c r="V10" i="2"/>
  <c r="W10" i="2" s="1"/>
  <c r="AD38" i="2"/>
  <c r="AE38" i="2" s="1"/>
  <c r="BC23" i="2"/>
  <c r="BD23" i="2" s="1"/>
  <c r="AD9" i="2"/>
  <c r="AE9" i="2" s="1"/>
  <c r="AA26" i="8"/>
  <c r="AD37" i="8"/>
  <c r="AE37" i="8" s="1"/>
  <c r="AX46" i="16"/>
  <c r="AY46" i="16" s="1"/>
  <c r="BD44" i="16"/>
  <c r="BE44" i="16" s="1"/>
  <c r="BA8" i="8"/>
  <c r="BB8" i="8" s="1"/>
  <c r="T47" i="8"/>
  <c r="BA46" i="16"/>
  <c r="BA44" i="16"/>
  <c r="BC47" i="2"/>
  <c r="BD47" i="2" s="1"/>
  <c r="AZ16" i="8"/>
  <c r="BA37" i="8"/>
  <c r="BB37" i="8" s="1"/>
  <c r="AZ8" i="8"/>
  <c r="BD7" i="16"/>
  <c r="BE7" i="16" s="1"/>
  <c r="AW41" i="2"/>
  <c r="AX41" i="2" s="1"/>
  <c r="AD6" i="2"/>
  <c r="AE6" i="2" s="1"/>
  <c r="V47" i="8"/>
  <c r="W47" i="8" s="1"/>
  <c r="AZ37" i="8"/>
  <c r="BD46" i="16"/>
  <c r="BE46" i="16" s="1"/>
  <c r="BA5" i="8"/>
  <c r="BB5" i="8" s="1"/>
  <c r="AD23" i="8"/>
  <c r="AE23" i="8" s="1"/>
  <c r="AW54" i="2"/>
  <c r="AX54" i="2" s="1"/>
  <c r="M149" i="3"/>
  <c r="AD24" i="8"/>
  <c r="AE24" i="8" s="1"/>
  <c r="Z6" i="2"/>
  <c r="AA6" i="2" s="1"/>
  <c r="Z37" i="8"/>
  <c r="V10" i="8"/>
  <c r="BA35" i="8"/>
  <c r="BB35" i="8" s="1"/>
  <c r="BC25" i="8"/>
  <c r="BD25" i="8" s="1"/>
  <c r="Z50" i="2"/>
  <c r="AA50" i="2" s="1"/>
  <c r="BC45" i="2"/>
  <c r="BD45" i="2" s="1"/>
  <c r="BD48" i="16"/>
  <c r="BE48" i="16" s="1"/>
  <c r="Z26" i="2"/>
  <c r="AA26" i="2" s="1"/>
  <c r="Z32" i="8"/>
  <c r="T32" i="2"/>
  <c r="AW35" i="8"/>
  <c r="AX35" i="8" s="1"/>
  <c r="T40" i="8"/>
  <c r="BA45" i="2"/>
  <c r="BB45" i="2" s="1"/>
  <c r="Z29" i="2"/>
  <c r="AA29" i="2" s="1"/>
  <c r="V54" i="2"/>
  <c r="BD51" i="16"/>
  <c r="BE51" i="16" s="1"/>
  <c r="AZ41" i="16"/>
  <c r="BA15" i="8"/>
  <c r="BB15" i="8" s="1"/>
  <c r="T15" i="2"/>
  <c r="V48" i="8"/>
  <c r="Z16" i="8"/>
  <c r="AZ49" i="16"/>
  <c r="BB51" i="16"/>
  <c r="BC51" i="16" s="1"/>
  <c r="BA26" i="16"/>
  <c r="AZ7" i="8"/>
  <c r="AD54" i="2"/>
  <c r="AE54" i="2" s="1"/>
  <c r="AW4" i="8"/>
  <c r="AX4" i="8" s="1"/>
  <c r="BB36" i="16"/>
  <c r="BC36" i="16" s="1"/>
  <c r="AD18" i="8"/>
  <c r="AW45" i="2"/>
  <c r="AX45" i="2" s="1"/>
  <c r="AW8" i="8"/>
  <c r="AX8" i="8" s="1"/>
  <c r="Z48" i="2"/>
  <c r="AA48" i="2" s="1"/>
  <c r="Z21" i="2"/>
  <c r="AA21" i="2" s="1"/>
  <c r="AD44" i="2"/>
  <c r="AE44" i="2" s="1"/>
  <c r="AD41" i="8"/>
  <c r="AE41" i="8" s="1"/>
  <c r="BD36" i="16"/>
  <c r="BE36" i="16" s="1"/>
  <c r="Z23" i="2"/>
  <c r="AA23" i="2" s="1"/>
  <c r="T45" i="2"/>
  <c r="Z21" i="8"/>
  <c r="AD10" i="8"/>
  <c r="AE10" i="8" s="1"/>
  <c r="BD26" i="16"/>
  <c r="BE26" i="16" s="1"/>
  <c r="AZ21" i="2"/>
  <c r="AD17" i="8"/>
  <c r="AE17" i="8" s="1"/>
  <c r="BC4" i="8"/>
  <c r="BD4" i="8" s="1"/>
  <c r="V33" i="8"/>
  <c r="W33" i="8" s="1"/>
  <c r="AD42" i="2"/>
  <c r="AE42" i="2" s="1"/>
  <c r="BA36" i="16"/>
  <c r="AD26" i="8"/>
  <c r="AX44" i="16"/>
  <c r="AY44" i="16" s="1"/>
  <c r="AZ5" i="8"/>
  <c r="Z27" i="8"/>
  <c r="AD5" i="2"/>
  <c r="AE5" i="2" s="1"/>
  <c r="Z44" i="2"/>
  <c r="AA44" i="2" s="1"/>
  <c r="AD27" i="8"/>
  <c r="AE27" i="8" s="1"/>
  <c r="Z19" i="8"/>
  <c r="AD32" i="8"/>
  <c r="AE32" i="8" s="1"/>
  <c r="AZ17" i="2"/>
  <c r="AW27" i="8"/>
  <c r="AX27" i="8" s="1"/>
  <c r="Z31" i="8"/>
  <c r="Z23" i="8"/>
  <c r="AD48" i="2"/>
  <c r="AE48" i="2" s="1"/>
  <c r="Z34" i="2"/>
  <c r="AA34" i="2" s="1"/>
  <c r="Z15" i="2"/>
  <c r="AA15" i="2" s="1"/>
  <c r="AW21" i="2"/>
  <c r="AX21" i="2" s="1"/>
  <c r="BC17" i="2"/>
  <c r="BD17" i="2" s="1"/>
  <c r="BA41" i="16"/>
  <c r="BC35" i="8"/>
  <c r="BD35" i="8" s="1"/>
  <c r="BB44" i="16"/>
  <c r="BC44" i="16" s="1"/>
  <c r="BA27" i="8"/>
  <c r="BB27" i="8" s="1"/>
  <c r="AZ43" i="8"/>
  <c r="V8" i="2"/>
  <c r="W8" i="2" s="1"/>
  <c r="BA54" i="2"/>
  <c r="BB54" i="2" s="1"/>
  <c r="BC38" i="8"/>
  <c r="BD38" i="8" s="1"/>
  <c r="AX7" i="16"/>
  <c r="AY7" i="16" s="1"/>
  <c r="AW20" i="2"/>
  <c r="AX20" i="2" s="1"/>
  <c r="Z43" i="2"/>
  <c r="AA43" i="2" s="1"/>
  <c r="V15" i="8"/>
  <c r="Z11" i="8"/>
  <c r="AD10" i="2"/>
  <c r="AE10" i="2" s="1"/>
  <c r="Z5" i="8"/>
  <c r="AX41" i="16"/>
  <c r="AY41" i="16" s="1"/>
  <c r="Z51" i="2"/>
  <c r="AA51" i="2" s="1"/>
  <c r="BC43" i="8"/>
  <c r="BD43" i="8" s="1"/>
  <c r="BA38" i="8"/>
  <c r="BB38" i="8" s="1"/>
  <c r="BA20" i="2"/>
  <c r="BB20" i="2" s="1"/>
  <c r="T30" i="8"/>
  <c r="AD28" i="2"/>
  <c r="AE28" i="2" s="1"/>
  <c r="AD6" i="8"/>
  <c r="AE6" i="8" s="1"/>
  <c r="T31" i="8"/>
  <c r="BA7" i="16"/>
  <c r="Z15" i="8"/>
  <c r="AZ24" i="16"/>
  <c r="BA16" i="8"/>
  <c r="BB16" i="8" s="1"/>
  <c r="T53" i="2"/>
  <c r="V17" i="2"/>
  <c r="W17" i="2" s="1"/>
  <c r="V48" i="2"/>
  <c r="W48" i="2" s="1"/>
  <c r="BB26" i="16"/>
  <c r="BC26" i="16" s="1"/>
  <c r="AD7" i="8"/>
  <c r="AE7" i="8" s="1"/>
  <c r="BC43" i="2"/>
  <c r="BD43" i="2" s="1"/>
  <c r="AZ26" i="8"/>
  <c r="Z52" i="2"/>
  <c r="AA52" i="2" s="1"/>
  <c r="BD24" i="16"/>
  <c r="BE24" i="16" s="1"/>
  <c r="BC16" i="8"/>
  <c r="BD16" i="8" s="1"/>
  <c r="BA23" i="2"/>
  <c r="BB23" i="2" s="1"/>
  <c r="Z7" i="2"/>
  <c r="AA7" i="2" s="1"/>
  <c r="T41" i="8"/>
  <c r="AD7" i="2"/>
  <c r="AE7" i="2" s="1"/>
  <c r="V37" i="8"/>
  <c r="AZ43" i="2"/>
  <c r="V44" i="2"/>
  <c r="W44" i="2" s="1"/>
  <c r="V22" i="8"/>
  <c r="AD11" i="8"/>
  <c r="AE11" i="8" s="1"/>
  <c r="AD44" i="8"/>
  <c r="AE44" i="8" s="1"/>
  <c r="AZ26" i="16"/>
  <c r="V29" i="8"/>
  <c r="BC5" i="8"/>
  <c r="BD5" i="8" s="1"/>
  <c r="AD11" i="2"/>
  <c r="AE11" i="2" s="1"/>
  <c r="AD48" i="8"/>
  <c r="AE48" i="8" s="1"/>
  <c r="T16" i="2"/>
  <c r="AZ13" i="8"/>
  <c r="T13" i="2"/>
  <c r="AZ27" i="8"/>
  <c r="T53" i="8"/>
  <c r="AX24" i="16"/>
  <c r="AY24" i="16" s="1"/>
  <c r="AD34" i="8"/>
  <c r="M148" i="3"/>
  <c r="AZ27" i="16"/>
  <c r="BA13" i="8"/>
  <c r="BB13" i="8" s="1"/>
  <c r="AZ21" i="8"/>
  <c r="AD23" i="2"/>
  <c r="AE23" i="2" s="1"/>
  <c r="AD12" i="8"/>
  <c r="AE12" i="8" s="1"/>
  <c r="Z51" i="8"/>
  <c r="BB27" i="16"/>
  <c r="BC27" i="16" s="1"/>
  <c r="BA21" i="8"/>
  <c r="BB21" i="8" s="1"/>
  <c r="T37" i="2"/>
  <c r="AD52" i="2"/>
  <c r="AE52" i="2" s="1"/>
  <c r="AD36" i="2"/>
  <c r="AE36" i="2" s="1"/>
  <c r="AD45" i="8"/>
  <c r="AE45" i="8" s="1"/>
  <c r="AD9" i="8"/>
  <c r="AE9" i="8" s="1"/>
  <c r="T44" i="8"/>
  <c r="AB26" i="16"/>
  <c r="T21" i="8"/>
  <c r="T34" i="2"/>
  <c r="V36" i="8"/>
  <c r="Z11" i="2"/>
  <c r="AA11" i="2" s="1"/>
  <c r="T35" i="8"/>
  <c r="Z35" i="8"/>
  <c r="AW7" i="8"/>
  <c r="AX7" i="8" s="1"/>
  <c r="T51" i="8"/>
  <c r="AZ48" i="16"/>
  <c r="BB7" i="16"/>
  <c r="BC7" i="16" s="1"/>
  <c r="AZ20" i="2"/>
  <c r="Z24" i="8"/>
  <c r="V21" i="8"/>
  <c r="W21" i="8" s="1"/>
  <c r="Z13" i="8"/>
  <c r="Z7" i="8"/>
  <c r="AD8" i="2"/>
  <c r="AE8" i="2" s="1"/>
  <c r="BA48" i="16"/>
  <c r="T19" i="8"/>
  <c r="T9" i="8"/>
  <c r="V31" i="8"/>
  <c r="W31" i="8" s="1"/>
  <c r="AD51" i="8"/>
  <c r="AE51" i="8" s="1"/>
  <c r="BC7" i="8"/>
  <c r="BD7" i="8" s="1"/>
  <c r="AD25" i="2"/>
  <c r="AE25" i="2" s="1"/>
  <c r="AD46" i="8"/>
  <c r="AE46" i="8" s="1"/>
  <c r="Z36" i="2"/>
  <c r="AA36" i="2" s="1"/>
  <c r="V39" i="2"/>
  <c r="V5" i="8"/>
  <c r="W5" i="8" s="1"/>
  <c r="AD40" i="8"/>
  <c r="AE40" i="8" s="1"/>
  <c r="V28" i="8"/>
  <c r="Z34" i="8"/>
  <c r="Z53" i="8"/>
  <c r="BC15" i="8"/>
  <c r="BD15" i="8" s="1"/>
  <c r="AD37" i="2"/>
  <c r="AE37" i="2" s="1"/>
  <c r="AW15" i="8"/>
  <c r="AX15" i="8" s="1"/>
  <c r="T46" i="8"/>
  <c r="T52" i="8"/>
  <c r="T46" i="2"/>
  <c r="V6" i="8"/>
  <c r="W6" i="8" s="1"/>
  <c r="AA24" i="8"/>
  <c r="Z25" i="2"/>
  <c r="AA25" i="2" s="1"/>
  <c r="V35" i="8"/>
  <c r="W35" i="8" s="1"/>
  <c r="Z53" i="2"/>
  <c r="AA53" i="2" s="1"/>
  <c r="AB39" i="16"/>
  <c r="AB5" i="16"/>
  <c r="AB29" i="16"/>
  <c r="AB23" i="16"/>
  <c r="AB51" i="16"/>
  <c r="AB12" i="16"/>
  <c r="AB33" i="16"/>
  <c r="AB21" i="16"/>
  <c r="AB52" i="16"/>
  <c r="AB46" i="16"/>
  <c r="AB47" i="16"/>
  <c r="AB8" i="16"/>
  <c r="AE16" i="8"/>
  <c r="V11" i="8"/>
  <c r="V13" i="8"/>
  <c r="AB38" i="16"/>
  <c r="BA51" i="2"/>
  <c r="BB51" i="2" s="1"/>
  <c r="BC51" i="2"/>
  <c r="BD51" i="2" s="1"/>
  <c r="AZ51" i="2"/>
  <c r="AW51" i="2"/>
  <c r="AX51" i="2" s="1"/>
  <c r="AW52" i="2"/>
  <c r="AX52" i="2" s="1"/>
  <c r="AZ52" i="2"/>
  <c r="BC52" i="2"/>
  <c r="BD52" i="2" s="1"/>
  <c r="BA52" i="2"/>
  <c r="BB52" i="2" s="1"/>
  <c r="V50" i="8"/>
  <c r="AW52" i="8"/>
  <c r="AX52" i="8" s="1"/>
  <c r="BC52" i="8"/>
  <c r="BD52" i="8" s="1"/>
  <c r="AZ52" i="8"/>
  <c r="BA52" i="8"/>
  <c r="BB52" i="8" s="1"/>
  <c r="V32" i="8"/>
  <c r="AB40" i="16"/>
  <c r="AB24" i="16"/>
  <c r="O4" i="8"/>
  <c r="P4" i="8"/>
  <c r="N4" i="8"/>
  <c r="AA40" i="8"/>
  <c r="Z40" i="8"/>
  <c r="V17" i="8"/>
  <c r="T28" i="2"/>
  <c r="V28" i="2"/>
  <c r="W28" i="2" s="1"/>
  <c r="BA29" i="16"/>
  <c r="BD29" i="16"/>
  <c r="BE29" i="16" s="1"/>
  <c r="BB29" i="16"/>
  <c r="BC29" i="16" s="1"/>
  <c r="AZ29" i="16"/>
  <c r="AX29" i="16"/>
  <c r="AY29" i="16" s="1"/>
  <c r="V14" i="8"/>
  <c r="V45" i="8"/>
  <c r="T4" i="8"/>
  <c r="BM11" i="2"/>
  <c r="BM7" i="2"/>
  <c r="BM30" i="2"/>
  <c r="BM31" i="2"/>
  <c r="BM26" i="2"/>
  <c r="BM27" i="2"/>
  <c r="BM32" i="2"/>
  <c r="BM22" i="2"/>
  <c r="BM23" i="2"/>
  <c r="BM28" i="2"/>
  <c r="BM29" i="2"/>
  <c r="BM14" i="2"/>
  <c r="BM15" i="2"/>
  <c r="BM20" i="2"/>
  <c r="BM21" i="2"/>
  <c r="BM16" i="2"/>
  <c r="BM17" i="2"/>
  <c r="BM5" i="2"/>
  <c r="BM12" i="2"/>
  <c r="BM13" i="2"/>
  <c r="BM41" i="2"/>
  <c r="BM6" i="2"/>
  <c r="BM8" i="2"/>
  <c r="BM36" i="2"/>
  <c r="BM39" i="2"/>
  <c r="BM46" i="2"/>
  <c r="BM47" i="2"/>
  <c r="BM52" i="2"/>
  <c r="BM53" i="2"/>
  <c r="BM4" i="2"/>
  <c r="BM10" i="2"/>
  <c r="BM35" i="2"/>
  <c r="BM42" i="2"/>
  <c r="BM43" i="2"/>
  <c r="BM48" i="2"/>
  <c r="BM49" i="2"/>
  <c r="BM33" i="2"/>
  <c r="BM9" i="2"/>
  <c r="BM51" i="2"/>
  <c r="BM45" i="2"/>
  <c r="BM18" i="2"/>
  <c r="BM37" i="2"/>
  <c r="BM54" i="2"/>
  <c r="BM50" i="2"/>
  <c r="BM24" i="2"/>
  <c r="BM44" i="2"/>
  <c r="BM19" i="2"/>
  <c r="BM34" i="2"/>
  <c r="BM25" i="2"/>
  <c r="BM40" i="2"/>
  <c r="BM38" i="2"/>
  <c r="AE35" i="8"/>
  <c r="AA12" i="8"/>
  <c r="Z12" i="8"/>
  <c r="T31" i="2"/>
  <c r="V31" i="2"/>
  <c r="W31" i="2" s="1"/>
  <c r="V23" i="2"/>
  <c r="W23" i="2" s="1"/>
  <c r="T23" i="2"/>
  <c r="AB6" i="16"/>
  <c r="AA41" i="8"/>
  <c r="Z41" i="8"/>
  <c r="V12" i="2"/>
  <c r="W12" i="2" s="1"/>
  <c r="T12" i="2"/>
  <c r="T16" i="8"/>
  <c r="AB16" i="16"/>
  <c r="BA13" i="16"/>
  <c r="BD13" i="16"/>
  <c r="BE13" i="16" s="1"/>
  <c r="BB13" i="16"/>
  <c r="BC13" i="16" s="1"/>
  <c r="AZ13" i="16"/>
  <c r="AX13" i="16"/>
  <c r="AY13" i="16" s="1"/>
  <c r="AW32" i="2"/>
  <c r="AX32" i="2" s="1"/>
  <c r="AZ32" i="2"/>
  <c r="BC32" i="2"/>
  <c r="BD32" i="2" s="1"/>
  <c r="BA32" i="2"/>
  <c r="BB32" i="2" s="1"/>
  <c r="BA19" i="8"/>
  <c r="BB19" i="8" s="1"/>
  <c r="AZ19" i="8"/>
  <c r="BC19" i="8"/>
  <c r="BD19" i="8" s="1"/>
  <c r="AW19" i="8"/>
  <c r="AX19" i="8" s="1"/>
  <c r="T32" i="8"/>
  <c r="AZ18" i="2"/>
  <c r="BC18" i="2"/>
  <c r="BD18" i="2" s="1"/>
  <c r="BA18" i="2"/>
  <c r="BB18" i="2" s="1"/>
  <c r="AW18" i="2"/>
  <c r="AX18" i="2" s="1"/>
  <c r="T51" i="2"/>
  <c r="V51" i="2"/>
  <c r="W51" i="2" s="1"/>
  <c r="V52" i="2"/>
  <c r="W52" i="2" s="1"/>
  <c r="T52" i="2"/>
  <c r="V9" i="8"/>
  <c r="W9" i="8" s="1"/>
  <c r="Z9" i="8"/>
  <c r="T39" i="8"/>
  <c r="V53" i="8"/>
  <c r="AW8" i="2"/>
  <c r="AX8" i="2" s="1"/>
  <c r="AZ8" i="2"/>
  <c r="BA8" i="2"/>
  <c r="BB8" i="2" s="1"/>
  <c r="BC8" i="2"/>
  <c r="BD8" i="2" s="1"/>
  <c r="AW48" i="8"/>
  <c r="AX48" i="8" s="1"/>
  <c r="BA48" i="8"/>
  <c r="BB48" i="8" s="1"/>
  <c r="BC48" i="8"/>
  <c r="BD48" i="8" s="1"/>
  <c r="AZ48" i="8"/>
  <c r="AW16" i="2"/>
  <c r="AX16" i="2" s="1"/>
  <c r="BC16" i="2"/>
  <c r="BD16" i="2" s="1"/>
  <c r="BA16" i="2"/>
  <c r="BB16" i="2" s="1"/>
  <c r="AZ16" i="2"/>
  <c r="BB45" i="16"/>
  <c r="BC45" i="16" s="1"/>
  <c r="AZ45" i="16"/>
  <c r="BA45" i="16"/>
  <c r="BD45" i="16"/>
  <c r="BE45" i="16" s="1"/>
  <c r="AX45" i="16"/>
  <c r="AY45" i="16" s="1"/>
  <c r="V9" i="2"/>
  <c r="W9" i="2" s="1"/>
  <c r="T9" i="2"/>
  <c r="AW13" i="2"/>
  <c r="AX13" i="2" s="1"/>
  <c r="BA13" i="2"/>
  <c r="BB13" i="2" s="1"/>
  <c r="BC13" i="2"/>
  <c r="BD13" i="2" s="1"/>
  <c r="AZ13" i="2"/>
  <c r="T14" i="2"/>
  <c r="V14" i="2"/>
  <c r="W14" i="2" s="1"/>
  <c r="AZ33" i="16"/>
  <c r="BD33" i="16"/>
  <c r="BE33" i="16" s="1"/>
  <c r="BA33" i="16"/>
  <c r="BB33" i="16"/>
  <c r="BC33" i="16" s="1"/>
  <c r="AX33" i="16"/>
  <c r="AY33" i="16" s="1"/>
  <c r="B27" i="8"/>
  <c r="T5" i="2"/>
  <c r="V5" i="2"/>
  <c r="W5" i="2" s="1"/>
  <c r="BC34" i="8"/>
  <c r="BD34" i="8" s="1"/>
  <c r="AZ34" i="8"/>
  <c r="BA34" i="8"/>
  <c r="BB34" i="8" s="1"/>
  <c r="AW34" i="8"/>
  <c r="AX34" i="8" s="1"/>
  <c r="AW28" i="8"/>
  <c r="AX28" i="8" s="1"/>
  <c r="BC28" i="8"/>
  <c r="BD28" i="8" s="1"/>
  <c r="BA28" i="8"/>
  <c r="BB28" i="8" s="1"/>
  <c r="AZ28" i="8"/>
  <c r="Z43" i="8"/>
  <c r="AD16" i="2"/>
  <c r="Z52" i="8"/>
  <c r="AA52" i="8"/>
  <c r="BA39" i="2"/>
  <c r="BB39" i="2" s="1"/>
  <c r="BC39" i="2"/>
  <c r="BD39" i="2" s="1"/>
  <c r="AZ39" i="2"/>
  <c r="AW39" i="2"/>
  <c r="AX39" i="2" s="1"/>
  <c r="BD14" i="16"/>
  <c r="BE14" i="16" s="1"/>
  <c r="BB14" i="16"/>
  <c r="BC14" i="16" s="1"/>
  <c r="BA14" i="16"/>
  <c r="AZ14" i="16"/>
  <c r="AX14" i="16"/>
  <c r="AY14" i="16" s="1"/>
  <c r="T26" i="8"/>
  <c r="T6" i="8"/>
  <c r="V4" i="8"/>
  <c r="V49" i="8"/>
  <c r="Z14" i="8"/>
  <c r="T6" i="2"/>
  <c r="V6" i="2"/>
  <c r="W6" i="2" s="1"/>
  <c r="V30" i="8"/>
  <c r="AD54" i="8"/>
  <c r="AW24" i="8"/>
  <c r="AX24" i="8" s="1"/>
  <c r="BA24" i="8"/>
  <c r="BB24" i="8" s="1"/>
  <c r="BC24" i="8"/>
  <c r="BD24" i="8" s="1"/>
  <c r="AZ24" i="8"/>
  <c r="T22" i="2"/>
  <c r="V22" i="2"/>
  <c r="W22" i="2" s="1"/>
  <c r="AD21" i="8"/>
  <c r="Z18" i="8"/>
  <c r="V18" i="8"/>
  <c r="Z45" i="8"/>
  <c r="AA45" i="8"/>
  <c r="Z32" i="2"/>
  <c r="AW9" i="8"/>
  <c r="AX9" i="8" s="1"/>
  <c r="AZ9" i="8"/>
  <c r="BA9" i="8"/>
  <c r="BB9" i="8" s="1"/>
  <c r="BC9" i="8"/>
  <c r="BD9" i="8" s="1"/>
  <c r="AD26" i="2"/>
  <c r="AE26" i="2" s="1"/>
  <c r="AE14" i="8"/>
  <c r="AB17" i="16"/>
  <c r="V18" i="2"/>
  <c r="W18" i="2" s="1"/>
  <c r="T18" i="2"/>
  <c r="BA11" i="2"/>
  <c r="BB11" i="2" s="1"/>
  <c r="AZ11" i="2"/>
  <c r="BC11" i="2"/>
  <c r="BD11" i="2" s="1"/>
  <c r="AW11" i="2"/>
  <c r="AX11" i="2" s="1"/>
  <c r="BK6" i="2"/>
  <c r="BK7" i="2"/>
  <c r="BK8" i="2"/>
  <c r="BK9" i="2"/>
  <c r="BK10" i="2"/>
  <c r="BK13" i="2"/>
  <c r="BK14" i="2"/>
  <c r="BK17" i="2"/>
  <c r="BK18" i="2"/>
  <c r="BK21" i="2"/>
  <c r="BK22" i="2"/>
  <c r="BK25" i="2"/>
  <c r="BK26" i="2"/>
  <c r="BK29" i="2"/>
  <c r="BK30" i="2"/>
  <c r="BK33" i="2"/>
  <c r="BK34" i="2"/>
  <c r="BK37" i="2"/>
  <c r="BK38" i="2"/>
  <c r="BK41" i="2"/>
  <c r="BK42" i="2"/>
  <c r="BK23" i="2"/>
  <c r="BK28" i="2"/>
  <c r="BK19" i="2"/>
  <c r="BK24" i="2"/>
  <c r="BK15" i="2"/>
  <c r="BK20" i="2"/>
  <c r="BK12" i="2"/>
  <c r="BK39" i="2"/>
  <c r="BK5" i="2"/>
  <c r="BK40" i="2"/>
  <c r="BK51" i="2"/>
  <c r="BK54" i="2"/>
  <c r="BK44" i="2"/>
  <c r="BK49" i="2"/>
  <c r="BK31" i="2"/>
  <c r="BK45" i="2"/>
  <c r="BK27" i="2"/>
  <c r="BK32" i="2"/>
  <c r="BK35" i="2"/>
  <c r="BK46" i="2"/>
  <c r="BK53" i="2"/>
  <c r="BK16" i="2"/>
  <c r="BK36" i="2"/>
  <c r="BK47" i="2"/>
  <c r="BK50" i="2"/>
  <c r="BK52" i="2"/>
  <c r="BK43" i="2"/>
  <c r="BK48" i="2"/>
  <c r="BK11" i="2"/>
  <c r="BK4" i="2"/>
  <c r="T19" i="2"/>
  <c r="V19" i="2"/>
  <c r="W19" i="2" s="1"/>
  <c r="T7" i="8"/>
  <c r="AB31" i="16"/>
  <c r="AE13" i="8"/>
  <c r="T49" i="8"/>
  <c r="AE19" i="8"/>
  <c r="AD53" i="8"/>
  <c r="T50" i="8"/>
  <c r="T11" i="2"/>
  <c r="V12" i="8"/>
  <c r="AE31" i="8"/>
  <c r="BO9" i="2"/>
  <c r="BO10" i="2"/>
  <c r="BO11" i="2"/>
  <c r="BO6" i="2"/>
  <c r="BO7" i="2"/>
  <c r="BO13" i="2"/>
  <c r="BO30" i="2"/>
  <c r="BO31" i="2"/>
  <c r="BO32" i="2"/>
  <c r="BO22" i="2"/>
  <c r="BO23" i="2"/>
  <c r="BO24" i="2"/>
  <c r="BO29" i="2"/>
  <c r="BO44" i="2"/>
  <c r="BO48" i="2"/>
  <c r="BO52" i="2"/>
  <c r="BO18" i="2"/>
  <c r="BO19" i="2"/>
  <c r="BO20" i="2"/>
  <c r="BO25" i="2"/>
  <c r="BO38" i="2"/>
  <c r="BO45" i="2"/>
  <c r="BO14" i="2"/>
  <c r="BO15" i="2"/>
  <c r="BO16" i="2"/>
  <c r="BO21" i="2"/>
  <c r="BO34" i="2"/>
  <c r="BO37" i="2"/>
  <c r="BO40" i="2"/>
  <c r="BO54" i="2"/>
  <c r="BO8" i="2"/>
  <c r="BO33" i="2"/>
  <c r="BO36" i="2"/>
  <c r="BO50" i="2"/>
  <c r="BO51" i="2"/>
  <c r="BO12" i="2"/>
  <c r="BO47" i="2"/>
  <c r="BO26" i="2"/>
  <c r="BO46" i="2"/>
  <c r="BO53" i="2"/>
  <c r="BO5" i="2"/>
  <c r="BO27" i="2"/>
  <c r="BO35" i="2"/>
  <c r="BO42" i="2"/>
  <c r="BO43" i="2"/>
  <c r="BO49" i="2"/>
  <c r="BO41" i="2"/>
  <c r="BO17" i="2"/>
  <c r="BO28" i="2"/>
  <c r="BO39" i="2"/>
  <c r="BO4" i="2"/>
  <c r="AB20" i="16"/>
  <c r="V44" i="8"/>
  <c r="V7" i="2"/>
  <c r="W7" i="2" s="1"/>
  <c r="T7" i="2"/>
  <c r="V43" i="2"/>
  <c r="W43" i="2" s="1"/>
  <c r="T43" i="2"/>
  <c r="Z44" i="8"/>
  <c r="T49" i="2"/>
  <c r="V49" i="2"/>
  <c r="W49" i="2" s="1"/>
  <c r="V25" i="2"/>
  <c r="W25" i="2" s="1"/>
  <c r="T25" i="2"/>
  <c r="Z13" i="2"/>
  <c r="AA13" i="2" s="1"/>
  <c r="AW28" i="2"/>
  <c r="AX28" i="2" s="1"/>
  <c r="AZ28" i="2"/>
  <c r="BA28" i="2"/>
  <c r="BB28" i="2" s="1"/>
  <c r="BC28" i="2"/>
  <c r="BD28" i="2" s="1"/>
  <c r="AB13" i="16"/>
  <c r="V47" i="2"/>
  <c r="W47" i="2" s="1"/>
  <c r="V46" i="8"/>
  <c r="V43" i="8"/>
  <c r="BB22" i="16"/>
  <c r="BC22" i="16" s="1"/>
  <c r="AZ22" i="16"/>
  <c r="BA22" i="16"/>
  <c r="BD22" i="16"/>
  <c r="BE22" i="16" s="1"/>
  <c r="AX22" i="16"/>
  <c r="AY22" i="16" s="1"/>
  <c r="V38" i="8"/>
  <c r="BB52" i="16"/>
  <c r="BC52" i="16" s="1"/>
  <c r="BD52" i="16"/>
  <c r="BE52" i="16" s="1"/>
  <c r="BA52" i="16"/>
  <c r="AZ52" i="16"/>
  <c r="AX52" i="16"/>
  <c r="AY52" i="16" s="1"/>
  <c r="V23" i="8"/>
  <c r="T12" i="8"/>
  <c r="AA48" i="8"/>
  <c r="Z48" i="8"/>
  <c r="T14" i="8"/>
  <c r="T45" i="8"/>
  <c r="AE29" i="8"/>
  <c r="AB15" i="16"/>
  <c r="AB9" i="16"/>
  <c r="V19" i="8"/>
  <c r="V34" i="8"/>
  <c r="W34" i="8" s="1"/>
  <c r="V29" i="2"/>
  <c r="W29" i="2" s="1"/>
  <c r="T29" i="2"/>
  <c r="V27" i="2"/>
  <c r="W27" i="2" s="1"/>
  <c r="T27" i="2"/>
  <c r="T20" i="2"/>
  <c r="V20" i="2"/>
  <c r="W20" i="2" s="1"/>
  <c r="BB8" i="16"/>
  <c r="BC8" i="16" s="1"/>
  <c r="BA8" i="16"/>
  <c r="BD8" i="16"/>
  <c r="BE8" i="16" s="1"/>
  <c r="AZ8" i="16"/>
  <c r="AX8" i="16"/>
  <c r="AY8" i="16" s="1"/>
  <c r="V50" i="2"/>
  <c r="W50" i="2" s="1"/>
  <c r="Z49" i="8"/>
  <c r="AZ14" i="8"/>
  <c r="BA14" i="8"/>
  <c r="BB14" i="8" s="1"/>
  <c r="BC14" i="8"/>
  <c r="BD14" i="8" s="1"/>
  <c r="AW14" i="8"/>
  <c r="AX14" i="8" s="1"/>
  <c r="T11" i="8"/>
  <c r="T18" i="8"/>
  <c r="T13" i="8"/>
  <c r="V40" i="8"/>
  <c r="V7" i="8"/>
  <c r="BQ5" i="2"/>
  <c r="BQ9" i="2"/>
  <c r="BQ10" i="2"/>
  <c r="BQ11" i="2"/>
  <c r="BQ15" i="2"/>
  <c r="BQ19" i="2"/>
  <c r="BQ23" i="2"/>
  <c r="BQ27" i="2"/>
  <c r="BQ31" i="2"/>
  <c r="BQ35" i="2"/>
  <c r="BQ39" i="2"/>
  <c r="BQ8" i="2"/>
  <c r="BQ14" i="2"/>
  <c r="BQ16" i="2"/>
  <c r="BQ21" i="2"/>
  <c r="BQ12" i="2"/>
  <c r="BQ17" i="2"/>
  <c r="BQ13" i="2"/>
  <c r="BQ30" i="2"/>
  <c r="BQ32" i="2"/>
  <c r="BQ37" i="2"/>
  <c r="BQ4" i="2"/>
  <c r="BQ26" i="2"/>
  <c r="BQ28" i="2"/>
  <c r="BQ46" i="2"/>
  <c r="BQ47" i="2"/>
  <c r="BQ48" i="2"/>
  <c r="BQ53" i="2"/>
  <c r="BQ22" i="2"/>
  <c r="BQ24" i="2"/>
  <c r="BQ29" i="2"/>
  <c r="BQ42" i="2"/>
  <c r="BQ43" i="2"/>
  <c r="BQ44" i="2"/>
  <c r="BQ49" i="2"/>
  <c r="BQ6" i="2"/>
  <c r="BQ41" i="2"/>
  <c r="BQ33" i="2"/>
  <c r="BQ20" i="2"/>
  <c r="BQ54" i="2"/>
  <c r="BQ38" i="2"/>
  <c r="BQ18" i="2"/>
  <c r="BQ36" i="2"/>
  <c r="BQ50" i="2"/>
  <c r="BQ51" i="2"/>
  <c r="BQ52" i="2"/>
  <c r="BQ34" i="2"/>
  <c r="BQ7" i="2"/>
  <c r="BQ45" i="2"/>
  <c r="BQ25" i="2"/>
  <c r="BQ40" i="2"/>
  <c r="V35" i="2"/>
  <c r="W35" i="2" s="1"/>
  <c r="T35" i="2"/>
  <c r="Z10" i="8"/>
  <c r="AA10" i="8"/>
  <c r="T30" i="2"/>
  <c r="V30" i="2"/>
  <c r="W30" i="2" s="1"/>
  <c r="AW33" i="8"/>
  <c r="AX33" i="8" s="1"/>
  <c r="BC33" i="8"/>
  <c r="BD33" i="8" s="1"/>
  <c r="AZ33" i="8"/>
  <c r="BA33" i="8"/>
  <c r="BB33" i="8" s="1"/>
  <c r="AB30" i="16"/>
  <c r="BA43" i="16"/>
  <c r="BB43" i="16"/>
  <c r="BC43" i="16" s="1"/>
  <c r="AZ43" i="16"/>
  <c r="BD43" i="16"/>
  <c r="BE43" i="16" s="1"/>
  <c r="AX43" i="16"/>
  <c r="AY43" i="16" s="1"/>
  <c r="Z17" i="8"/>
  <c r="AA17" i="8"/>
  <c r="V42" i="8"/>
  <c r="T17" i="8"/>
  <c r="T38" i="2"/>
  <c r="V38" i="2"/>
  <c r="W38" i="2" s="1"/>
  <c r="BB31" i="16"/>
  <c r="BC31" i="16" s="1"/>
  <c r="AZ31" i="16"/>
  <c r="BD31" i="16"/>
  <c r="BE31" i="16" s="1"/>
  <c r="BA31" i="16"/>
  <c r="AX31" i="16"/>
  <c r="AY31" i="16" s="1"/>
  <c r="V36" i="2"/>
  <c r="W36" i="2" s="1"/>
  <c r="AZ18" i="8"/>
  <c r="BC18" i="8"/>
  <c r="BD18" i="8" s="1"/>
  <c r="BA18" i="8"/>
  <c r="BB18" i="8" s="1"/>
  <c r="AW18" i="8"/>
  <c r="AX18" i="8" s="1"/>
  <c r="T34" i="8"/>
  <c r="T28" i="8"/>
  <c r="AW53" i="8"/>
  <c r="AX53" i="8" s="1"/>
  <c r="BC53" i="8"/>
  <c r="BD53" i="8" s="1"/>
  <c r="AZ53" i="8"/>
  <c r="BA53" i="8"/>
  <c r="BB53" i="8" s="1"/>
  <c r="Z50" i="8"/>
  <c r="AA50" i="8"/>
  <c r="BA23" i="8"/>
  <c r="BB23" i="8" s="1"/>
  <c r="BC23" i="8"/>
  <c r="BD23" i="8" s="1"/>
  <c r="AZ23" i="8"/>
  <c r="AW23" i="8"/>
  <c r="AX23" i="8" s="1"/>
  <c r="AW29" i="8"/>
  <c r="AX29" i="8" s="1"/>
  <c r="AZ29" i="8"/>
  <c r="BC29" i="8"/>
  <c r="BD29" i="8" s="1"/>
  <c r="BA29" i="8"/>
  <c r="BB29" i="8" s="1"/>
  <c r="T15" i="8"/>
  <c r="Z30" i="8"/>
  <c r="AD52" i="8"/>
  <c r="Z22" i="8"/>
  <c r="BF8" i="9"/>
  <c r="BF12" i="9"/>
  <c r="BF16" i="9"/>
  <c r="BF20" i="9"/>
  <c r="BF24" i="9"/>
  <c r="BF28" i="9"/>
  <c r="BF32" i="9"/>
  <c r="BF36" i="9"/>
  <c r="BF40" i="9"/>
  <c r="BF7" i="9"/>
  <c r="BF11" i="9"/>
  <c r="BF15" i="9"/>
  <c r="BF19" i="9"/>
  <c r="BF23" i="9"/>
  <c r="BF27" i="9"/>
  <c r="BF31" i="9"/>
  <c r="BF35" i="9"/>
  <c r="BF39" i="9"/>
  <c r="BF6" i="9"/>
  <c r="BF14" i="9"/>
  <c r="BF22" i="9"/>
  <c r="BF30" i="9"/>
  <c r="BF38" i="9"/>
  <c r="BF43" i="9"/>
  <c r="BF46" i="9"/>
  <c r="BF5" i="9"/>
  <c r="BF13" i="9"/>
  <c r="BF21" i="9"/>
  <c r="BF29" i="9"/>
  <c r="BF37" i="9"/>
  <c r="BF54" i="9"/>
  <c r="BF44" i="9"/>
  <c r="BF47" i="9"/>
  <c r="BF50" i="9"/>
  <c r="BF9" i="9"/>
  <c r="BF17" i="9"/>
  <c r="BF25" i="9"/>
  <c r="BF33" i="9"/>
  <c r="BF41" i="9"/>
  <c r="BF45" i="9"/>
  <c r="BF42" i="9"/>
  <c r="BF52" i="9"/>
  <c r="BF4" i="9"/>
  <c r="BF49" i="9"/>
  <c r="BF53" i="9"/>
  <c r="BF10" i="9"/>
  <c r="BF18" i="9"/>
  <c r="BF34" i="9"/>
  <c r="BF26" i="9"/>
  <c r="BF48" i="9"/>
  <c r="BF51" i="9"/>
  <c r="BD7" i="9"/>
  <c r="BD11" i="9"/>
  <c r="BD15" i="9"/>
  <c r="BD19" i="9"/>
  <c r="BD23" i="9"/>
  <c r="BD27" i="9"/>
  <c r="BD31" i="9"/>
  <c r="BD35" i="9"/>
  <c r="BD39" i="9"/>
  <c r="BD6" i="9"/>
  <c r="BD10" i="9"/>
  <c r="BD14" i="9"/>
  <c r="BD18" i="9"/>
  <c r="BD22" i="9"/>
  <c r="BD26" i="9"/>
  <c r="BD30" i="9"/>
  <c r="BD34" i="9"/>
  <c r="BD38" i="9"/>
  <c r="BD5" i="9"/>
  <c r="BD13" i="9"/>
  <c r="BD21" i="9"/>
  <c r="BD29" i="9"/>
  <c r="BD37" i="9"/>
  <c r="BD47" i="9"/>
  <c r="BD50" i="9"/>
  <c r="BD17" i="9"/>
  <c r="BD12" i="9"/>
  <c r="BD20" i="9"/>
  <c r="BD28" i="9"/>
  <c r="BD36" i="9"/>
  <c r="BD44" i="9"/>
  <c r="BD53" i="9"/>
  <c r="BD9" i="9"/>
  <c r="BD51" i="9"/>
  <c r="BD8" i="9"/>
  <c r="BD16" i="9"/>
  <c r="BD24" i="9"/>
  <c r="BD32" i="9"/>
  <c r="BD40" i="9"/>
  <c r="BD52" i="9"/>
  <c r="BD43" i="9"/>
  <c r="BD46" i="9"/>
  <c r="BD49" i="9"/>
  <c r="BD54" i="9"/>
  <c r="BD4" i="9"/>
  <c r="BD48" i="9"/>
  <c r="BD25" i="9"/>
  <c r="BD45" i="9"/>
  <c r="BD41" i="9"/>
  <c r="BD33" i="9"/>
  <c r="BD42" i="9"/>
  <c r="BB6" i="9"/>
  <c r="BB10" i="9"/>
  <c r="BB14" i="9"/>
  <c r="BB18" i="9"/>
  <c r="BB22" i="9"/>
  <c r="BB26" i="9"/>
  <c r="BB30" i="9"/>
  <c r="BB34" i="9"/>
  <c r="BB38" i="9"/>
  <c r="BB5" i="9"/>
  <c r="BB9" i="9"/>
  <c r="BB13" i="9"/>
  <c r="BB17" i="9"/>
  <c r="BB21" i="9"/>
  <c r="BB25" i="9"/>
  <c r="BB29" i="9"/>
  <c r="BB33" i="9"/>
  <c r="BB37" i="9"/>
  <c r="BB41" i="9"/>
  <c r="BB12" i="9"/>
  <c r="BB20" i="9"/>
  <c r="BB28" i="9"/>
  <c r="BB36" i="9"/>
  <c r="BB44" i="9"/>
  <c r="BB4" i="9"/>
  <c r="BB51" i="9"/>
  <c r="BB11" i="9"/>
  <c r="BB19" i="9"/>
  <c r="BB27" i="9"/>
  <c r="BB35" i="9"/>
  <c r="BB42" i="9"/>
  <c r="BB45" i="9"/>
  <c r="BB48" i="9"/>
  <c r="BB8" i="9"/>
  <c r="BB16" i="9"/>
  <c r="BB7" i="9"/>
  <c r="BB15" i="9"/>
  <c r="BB23" i="9"/>
  <c r="BB31" i="9"/>
  <c r="BB39" i="9"/>
  <c r="BB43" i="9"/>
  <c r="BB54" i="9"/>
  <c r="BB50" i="9"/>
  <c r="BB47" i="9"/>
  <c r="BB53" i="9"/>
  <c r="BB49" i="9"/>
  <c r="BB46" i="9"/>
  <c r="BB40" i="9"/>
  <c r="BB32" i="9"/>
  <c r="BB24" i="9"/>
  <c r="BB52" i="9"/>
  <c r="M39" i="3"/>
  <c r="M40" i="3"/>
  <c r="M41" i="3"/>
  <c r="M42" i="3"/>
  <c r="Z40" i="2"/>
  <c r="AD40" i="2"/>
  <c r="AE40" i="2" s="1"/>
  <c r="T40" i="2"/>
  <c r="V40" i="2"/>
  <c r="B28" i="2"/>
  <c r="AA4" i="16"/>
  <c r="AB4" i="16" s="1"/>
  <c r="W4" i="16"/>
  <c r="M111" i="3"/>
  <c r="M112" i="3"/>
  <c r="M113" i="3"/>
  <c r="B28" i="16"/>
  <c r="B32" i="26" s="1"/>
  <c r="B27" i="16"/>
  <c r="B31" i="26" s="1"/>
  <c r="H12" i="16" s="1"/>
  <c r="I12" i="16" s="1"/>
  <c r="AT53" i="9"/>
  <c r="AU53" i="9" s="1"/>
  <c r="AQ53" i="9"/>
  <c r="AR53" i="9"/>
  <c r="AS53" i="9" s="1"/>
  <c r="AQ14" i="9"/>
  <c r="AR14" i="9"/>
  <c r="AS14" i="9" s="1"/>
  <c r="AT14" i="9"/>
  <c r="AU14" i="9" s="1"/>
  <c r="P21" i="9"/>
  <c r="N21" i="9"/>
  <c r="O21" i="9"/>
  <c r="N49" i="9"/>
  <c r="P49" i="9"/>
  <c r="O49" i="9"/>
  <c r="CA4" i="9" l="1"/>
  <c r="CC4" i="9" s="1"/>
  <c r="U4" i="9"/>
  <c r="CS4" i="9" s="1"/>
  <c r="D113" i="9"/>
  <c r="B128" i="9"/>
  <c r="B150" i="9" s="1"/>
  <c r="O22" i="9"/>
  <c r="N22" i="9"/>
  <c r="O10" i="9"/>
  <c r="U22" i="9"/>
  <c r="CS22" i="9" s="1"/>
  <c r="CT22" i="9" s="1"/>
  <c r="CU22" i="9" s="1"/>
  <c r="CV22" i="9" s="1"/>
  <c r="N10" i="9"/>
  <c r="P10" i="9"/>
  <c r="P22" i="9"/>
  <c r="W10" i="9"/>
  <c r="X10" i="9" s="1"/>
  <c r="N34" i="9"/>
  <c r="O34" i="9"/>
  <c r="P34" i="9"/>
  <c r="W34" i="9"/>
  <c r="X34" i="9" s="1"/>
  <c r="N29" i="9"/>
  <c r="W29" i="9"/>
  <c r="X29" i="9" s="1"/>
  <c r="O29" i="9"/>
  <c r="U29" i="9"/>
  <c r="CS29" i="9" s="1"/>
  <c r="CT29" i="9" s="1"/>
  <c r="CU29" i="9" s="1"/>
  <c r="CV29" i="9" s="1"/>
  <c r="P29" i="9"/>
  <c r="AN40" i="9"/>
  <c r="AO40" i="9" s="1"/>
  <c r="U11" i="9"/>
  <c r="CS11" i="9" s="1"/>
  <c r="CT11" i="9" s="1"/>
  <c r="CU11" i="9" s="1"/>
  <c r="CV11" i="9" s="1"/>
  <c r="AQ5" i="9"/>
  <c r="AN5" i="9"/>
  <c r="AO5" i="9" s="1"/>
  <c r="AT5" i="9"/>
  <c r="AU5" i="9" s="1"/>
  <c r="P47" i="9"/>
  <c r="P11" i="9"/>
  <c r="P32" i="9"/>
  <c r="AR41" i="9"/>
  <c r="AS41" i="9" s="1"/>
  <c r="O30" i="9"/>
  <c r="O11" i="9"/>
  <c r="AT40" i="9"/>
  <c r="AU40" i="9" s="1"/>
  <c r="U34" i="9"/>
  <c r="CS34" i="9" s="1"/>
  <c r="CT34" i="9" s="1"/>
  <c r="CU34" i="9" s="1"/>
  <c r="CV34" i="9" s="1"/>
  <c r="N11" i="9"/>
  <c r="N30" i="9"/>
  <c r="W11" i="9"/>
  <c r="X11" i="9" s="1"/>
  <c r="P30" i="9"/>
  <c r="AR40" i="9"/>
  <c r="AS40" i="9" s="1"/>
  <c r="AT45" i="9"/>
  <c r="AU45" i="9" s="1"/>
  <c r="O40" i="9"/>
  <c r="N37" i="9"/>
  <c r="O37" i="9"/>
  <c r="P37" i="9"/>
  <c r="AN30" i="9"/>
  <c r="AO30" i="9" s="1"/>
  <c r="AT11" i="9"/>
  <c r="AU11" i="9" s="1"/>
  <c r="U40" i="9"/>
  <c r="CS40" i="9" s="1"/>
  <c r="CT40" i="9" s="1"/>
  <c r="CU40" i="9" s="1"/>
  <c r="CV40" i="9" s="1"/>
  <c r="U37" i="9"/>
  <c r="CS37" i="9" s="1"/>
  <c r="CT37" i="9" s="1"/>
  <c r="CU37" i="9" s="1"/>
  <c r="CV37" i="9" s="1"/>
  <c r="AT10" i="9"/>
  <c r="AU10" i="9" s="1"/>
  <c r="AQ41" i="9"/>
  <c r="AT41" i="9"/>
  <c r="AU41" i="9" s="1"/>
  <c r="AQ10" i="9"/>
  <c r="P40" i="9"/>
  <c r="P52" i="9"/>
  <c r="N40" i="9"/>
  <c r="AQ33" i="9"/>
  <c r="AT33" i="9"/>
  <c r="AU33" i="9" s="1"/>
  <c r="P23" i="9"/>
  <c r="AR33" i="9"/>
  <c r="AS33" i="9" s="1"/>
  <c r="AQ11" i="9"/>
  <c r="W40" i="9"/>
  <c r="X40" i="9" s="1"/>
  <c r="O23" i="9"/>
  <c r="N23" i="9"/>
  <c r="W22" i="9"/>
  <c r="X22" i="9" s="1"/>
  <c r="AN11" i="9"/>
  <c r="AO11" i="9" s="1"/>
  <c r="AT30" i="9"/>
  <c r="AU30" i="9" s="1"/>
  <c r="AQ30" i="9"/>
  <c r="W18" i="9"/>
  <c r="X18" i="9" s="1"/>
  <c r="P12" i="9"/>
  <c r="O12" i="9"/>
  <c r="W12" i="9"/>
  <c r="X12" i="9" s="1"/>
  <c r="U30" i="9"/>
  <c r="CS30" i="9" s="1"/>
  <c r="CT30" i="9" s="1"/>
  <c r="CU30" i="9" s="1"/>
  <c r="CV30" i="9" s="1"/>
  <c r="N12" i="9"/>
  <c r="AN10" i="9"/>
  <c r="AO10" i="9" s="1"/>
  <c r="W30" i="9"/>
  <c r="X30" i="9" s="1"/>
  <c r="P6" i="9"/>
  <c r="N8" i="9"/>
  <c r="N5" i="9"/>
  <c r="CK19" i="2"/>
  <c r="CS19" i="2" s="1"/>
  <c r="CT19" i="2" s="1"/>
  <c r="CU19" i="2" s="1"/>
  <c r="CK38" i="2"/>
  <c r="CS38" i="2" s="1"/>
  <c r="CT38" i="2" s="1"/>
  <c r="CU38" i="2" s="1"/>
  <c r="CK36" i="2"/>
  <c r="CS36" i="2" s="1"/>
  <c r="CT36" i="2" s="1"/>
  <c r="CU36" i="2" s="1"/>
  <c r="CK26" i="2"/>
  <c r="CS26" i="2" s="1"/>
  <c r="CT26" i="2" s="1"/>
  <c r="CU26" i="2" s="1"/>
  <c r="CK48" i="2"/>
  <c r="CS48" i="2" s="1"/>
  <c r="CT48" i="2" s="1"/>
  <c r="CU48" i="2" s="1"/>
  <c r="CK53" i="2"/>
  <c r="CS53" i="2" s="1"/>
  <c r="CT53" i="2" s="1"/>
  <c r="CU53" i="2" s="1"/>
  <c r="CK28" i="2"/>
  <c r="CS28" i="2" s="1"/>
  <c r="CT28" i="2" s="1"/>
  <c r="CU28" i="2" s="1"/>
  <c r="CK13" i="2"/>
  <c r="CS13" i="2" s="1"/>
  <c r="CT13" i="2" s="1"/>
  <c r="CU13" i="2" s="1"/>
  <c r="CK39" i="2"/>
  <c r="CS39" i="2" s="1"/>
  <c r="CT39" i="2" s="1"/>
  <c r="CU39" i="2" s="1"/>
  <c r="CK46" i="2"/>
  <c r="CS46" i="2" s="1"/>
  <c r="CT46" i="2" s="1"/>
  <c r="CU46" i="2" s="1"/>
  <c r="P5" i="9"/>
  <c r="O47" i="9"/>
  <c r="W46" i="9"/>
  <c r="X46" i="9" s="1"/>
  <c r="U32" i="9"/>
  <c r="CS32" i="9" s="1"/>
  <c r="CT32" i="9" s="1"/>
  <c r="CU32" i="9" s="1"/>
  <c r="CV32" i="9" s="1"/>
  <c r="O32" i="9"/>
  <c r="U23" i="9"/>
  <c r="CS23" i="9" s="1"/>
  <c r="CT23" i="9" s="1"/>
  <c r="CU23" i="9" s="1"/>
  <c r="CV23" i="9" s="1"/>
  <c r="N32" i="9"/>
  <c r="W32" i="9"/>
  <c r="X32" i="9" s="1"/>
  <c r="O5" i="9"/>
  <c r="CK54" i="8"/>
  <c r="CS54" i="8" s="1"/>
  <c r="CT54" i="8" s="1"/>
  <c r="CU54" i="8" s="1"/>
  <c r="W14" i="9"/>
  <c r="X14" i="9" s="1"/>
  <c r="U14" i="9"/>
  <c r="CS14" i="9" s="1"/>
  <c r="CT14" i="9" s="1"/>
  <c r="CU14" i="9" s="1"/>
  <c r="CV14" i="9" s="1"/>
  <c r="O4" i="9"/>
  <c r="N9" i="9"/>
  <c r="N14" i="9"/>
  <c r="DG10" i="9"/>
  <c r="DQ10" i="9" s="1"/>
  <c r="O8" i="9"/>
  <c r="O14" i="9"/>
  <c r="U38" i="9"/>
  <c r="CS38" i="9" s="1"/>
  <c r="CT38" i="9" s="1"/>
  <c r="CU38" i="9" s="1"/>
  <c r="CV38" i="9" s="1"/>
  <c r="U21" i="9"/>
  <c r="CS21" i="9" s="1"/>
  <c r="CT21" i="9" s="1"/>
  <c r="CU21" i="9" s="1"/>
  <c r="CV21" i="9" s="1"/>
  <c r="W8" i="9"/>
  <c r="X8" i="9" s="1"/>
  <c r="U10" i="9"/>
  <c r="CS10" i="9" s="1"/>
  <c r="CT10" i="9" s="1"/>
  <c r="CU10" i="9" s="1"/>
  <c r="CV10" i="9" s="1"/>
  <c r="P8" i="9"/>
  <c r="U35" i="9"/>
  <c r="CS35" i="9" s="1"/>
  <c r="CT35" i="9" s="1"/>
  <c r="CU35" i="9" s="1"/>
  <c r="CV35" i="9" s="1"/>
  <c r="P16" i="9"/>
  <c r="U5" i="9"/>
  <c r="CS5" i="9" s="1"/>
  <c r="CT5" i="9" s="1"/>
  <c r="CU5" i="9" s="1"/>
  <c r="CV5" i="9" s="1"/>
  <c r="W35" i="9"/>
  <c r="X35" i="9" s="1"/>
  <c r="DH56" i="9"/>
  <c r="DR56" i="9" s="1"/>
  <c r="P9" i="9"/>
  <c r="U8" i="9"/>
  <c r="CS8" i="9" s="1"/>
  <c r="CT8" i="9" s="1"/>
  <c r="CU8" i="9" s="1"/>
  <c r="CV8" i="9" s="1"/>
  <c r="P35" i="9"/>
  <c r="O16" i="9"/>
  <c r="W5" i="9"/>
  <c r="X5" i="9" s="1"/>
  <c r="W9" i="9"/>
  <c r="X9" i="9" s="1"/>
  <c r="DF45" i="9"/>
  <c r="DV45" i="9" s="1"/>
  <c r="AQ22" i="9"/>
  <c r="AT22" i="9"/>
  <c r="AU22" i="9" s="1"/>
  <c r="AQ45" i="9"/>
  <c r="AN22" i="9"/>
  <c r="AO22" i="9" s="1"/>
  <c r="DF11" i="9"/>
  <c r="DV11" i="9" s="1"/>
  <c r="U9" i="9"/>
  <c r="CS9" i="9" s="1"/>
  <c r="CT9" i="9" s="1"/>
  <c r="CU9" i="9" s="1"/>
  <c r="CV9" i="9" s="1"/>
  <c r="P14" i="9"/>
  <c r="O24" i="9"/>
  <c r="N47" i="9"/>
  <c r="W4" i="9"/>
  <c r="X4" i="9" s="1"/>
  <c r="W47" i="9"/>
  <c r="X47" i="9" s="1"/>
  <c r="O54" i="9"/>
  <c r="DF58" i="9"/>
  <c r="DV58" i="9" s="1"/>
  <c r="P24" i="9"/>
  <c r="U33" i="9"/>
  <c r="CS33" i="9" s="1"/>
  <c r="CT33" i="9" s="1"/>
  <c r="CU33" i="9" s="1"/>
  <c r="CV33" i="9" s="1"/>
  <c r="O9" i="9"/>
  <c r="P7" i="9"/>
  <c r="N24" i="9"/>
  <c r="AN45" i="9"/>
  <c r="AO45" i="9" s="1"/>
  <c r="P4" i="9"/>
  <c r="O33" i="9"/>
  <c r="W33" i="9"/>
  <c r="X33" i="9" s="1"/>
  <c r="N33" i="9"/>
  <c r="P33" i="9"/>
  <c r="N7" i="9"/>
  <c r="O35" i="9"/>
  <c r="N43" i="9"/>
  <c r="N4" i="9"/>
  <c r="W7" i="9"/>
  <c r="X7" i="9" s="1"/>
  <c r="W16" i="9"/>
  <c r="X16" i="9" s="1"/>
  <c r="O7" i="9"/>
  <c r="N35" i="9"/>
  <c r="N16" i="9"/>
  <c r="DF59" i="9"/>
  <c r="DP59" i="9" s="1"/>
  <c r="AN39" i="9"/>
  <c r="AO39" i="9" s="1"/>
  <c r="AQ8" i="9"/>
  <c r="AQ6" i="9"/>
  <c r="AT18" i="9"/>
  <c r="AU18" i="9" s="1"/>
  <c r="AR39" i="9"/>
  <c r="AS39" i="9" s="1"/>
  <c r="AQ18" i="9"/>
  <c r="AN8" i="9"/>
  <c r="AO8" i="9" s="1"/>
  <c r="AT39" i="9"/>
  <c r="AU39" i="9" s="1"/>
  <c r="AR8" i="9"/>
  <c r="AS8" i="9" s="1"/>
  <c r="AN18" i="9"/>
  <c r="AO18" i="9" s="1"/>
  <c r="AT42" i="9"/>
  <c r="AU42" i="9" s="1"/>
  <c r="AR31" i="9"/>
  <c r="AS31" i="9" s="1"/>
  <c r="AT34" i="9"/>
  <c r="AU34" i="9" s="1"/>
  <c r="AQ32" i="9"/>
  <c r="AT52" i="9"/>
  <c r="AU52" i="9" s="1"/>
  <c r="AR32" i="9"/>
  <c r="AS32" i="9" s="1"/>
  <c r="AT7" i="9"/>
  <c r="AU7" i="9" s="1"/>
  <c r="AQ7" i="9"/>
  <c r="AN34" i="9"/>
  <c r="AO34" i="9" s="1"/>
  <c r="AT15" i="9"/>
  <c r="AU15" i="9" s="1"/>
  <c r="AN15" i="9"/>
  <c r="AO15" i="9" s="1"/>
  <c r="AQ15" i="9"/>
  <c r="AQ19" i="9"/>
  <c r="AQ31" i="9"/>
  <c r="AQ20" i="9"/>
  <c r="AR20" i="9"/>
  <c r="AS20" i="9" s="1"/>
  <c r="AN31" i="9"/>
  <c r="AO31" i="9" s="1"/>
  <c r="AN7" i="9"/>
  <c r="AO7" i="9" s="1"/>
  <c r="AR19" i="9"/>
  <c r="AS19" i="9" s="1"/>
  <c r="AQ4" i="9"/>
  <c r="AT17" i="9"/>
  <c r="AU17" i="9" s="1"/>
  <c r="AQ34" i="9"/>
  <c r="AN20" i="9"/>
  <c r="AO20" i="9" s="1"/>
  <c r="AQ17" i="9"/>
  <c r="AT9" i="9"/>
  <c r="AU9" i="9" s="1"/>
  <c r="AN9" i="9"/>
  <c r="AO9" i="9" s="1"/>
  <c r="AN17" i="9"/>
  <c r="AO17" i="9" s="1"/>
  <c r="AN32" i="9"/>
  <c r="AO32" i="9" s="1"/>
  <c r="AT29" i="9"/>
  <c r="AU29" i="9" s="1"/>
  <c r="AN19" i="9"/>
  <c r="AO19" i="9" s="1"/>
  <c r="AQ42" i="9"/>
  <c r="AN51" i="9"/>
  <c r="AO51" i="9" s="1"/>
  <c r="AQ52" i="9"/>
  <c r="AN42" i="9"/>
  <c r="AO42" i="9" s="1"/>
  <c r="AT50" i="9"/>
  <c r="AU50" i="9" s="1"/>
  <c r="AN4" i="9"/>
  <c r="AO4" i="9" s="1"/>
  <c r="AT51" i="9"/>
  <c r="AU51" i="9" s="1"/>
  <c r="AN52" i="9"/>
  <c r="AO52" i="9" s="1"/>
  <c r="AQ50" i="9"/>
  <c r="AR4" i="9"/>
  <c r="AS4" i="9" s="1"/>
  <c r="AQ9" i="9"/>
  <c r="AQ23" i="9"/>
  <c r="DF22" i="9"/>
  <c r="DV22" i="9" s="1"/>
  <c r="DH51" i="9"/>
  <c r="DR51" i="9" s="1"/>
  <c r="DF18" i="9"/>
  <c r="DV18" i="9" s="1"/>
  <c r="DH29" i="9"/>
  <c r="DR29" i="9" s="1"/>
  <c r="DF25" i="9"/>
  <c r="DV25" i="9" s="1"/>
  <c r="N50" i="9"/>
  <c r="AR51" i="9"/>
  <c r="AS51" i="9" s="1"/>
  <c r="DH19" i="9"/>
  <c r="DX19" i="9" s="1"/>
  <c r="DF44" i="9"/>
  <c r="DV44" i="9" s="1"/>
  <c r="B165" i="23"/>
  <c r="U24" i="9"/>
  <c r="CS24" i="9" s="1"/>
  <c r="CT24" i="9" s="1"/>
  <c r="CU24" i="9" s="1"/>
  <c r="CV24" i="9" s="1"/>
  <c r="W43" i="9"/>
  <c r="X43" i="9" s="1"/>
  <c r="DF37" i="9"/>
  <c r="DV37" i="9" s="1"/>
  <c r="DH4" i="9"/>
  <c r="DX4" i="9" s="1"/>
  <c r="DH11" i="9"/>
  <c r="DR11" i="9" s="1"/>
  <c r="DF13" i="9"/>
  <c r="DV13" i="9" s="1"/>
  <c r="DF56" i="9"/>
  <c r="DP56" i="9" s="1"/>
  <c r="AQ29" i="9"/>
  <c r="AN29" i="9"/>
  <c r="AO29" i="9" s="1"/>
  <c r="DF32" i="9"/>
  <c r="DP32" i="9" s="1"/>
  <c r="N41" i="9"/>
  <c r="N44" i="9"/>
  <c r="AN23" i="9"/>
  <c r="AO23" i="9" s="1"/>
  <c r="AT23" i="9"/>
  <c r="AU23" i="9" s="1"/>
  <c r="DH46" i="9"/>
  <c r="DR46" i="9" s="1"/>
  <c r="DF43" i="9"/>
  <c r="DP43" i="9" s="1"/>
  <c r="DF49" i="9"/>
  <c r="DV49" i="9" s="1"/>
  <c r="DH41" i="9"/>
  <c r="DX41" i="9" s="1"/>
  <c r="DH22" i="9"/>
  <c r="DX22" i="9" s="1"/>
  <c r="DH32" i="9"/>
  <c r="DX32" i="9" s="1"/>
  <c r="DH6" i="9"/>
  <c r="DR6" i="9" s="1"/>
  <c r="DH20" i="9"/>
  <c r="DX20" i="9" s="1"/>
  <c r="DH43" i="9"/>
  <c r="DX43" i="9" s="1"/>
  <c r="DG29" i="9"/>
  <c r="DQ29" i="9" s="1"/>
  <c r="DG24" i="9"/>
  <c r="DW24" i="9" s="1"/>
  <c r="DF52" i="9"/>
  <c r="DV52" i="9" s="1"/>
  <c r="DF9" i="9"/>
  <c r="DP9" i="9" s="1"/>
  <c r="DF23" i="9"/>
  <c r="DV23" i="9" s="1"/>
  <c r="DF35" i="9"/>
  <c r="DV35" i="9" s="1"/>
  <c r="DF47" i="9"/>
  <c r="DV47" i="9" s="1"/>
  <c r="DF54" i="9"/>
  <c r="DP54" i="9" s="1"/>
  <c r="DE12" i="9"/>
  <c r="DU12" i="9" s="1"/>
  <c r="U39" i="9"/>
  <c r="CS39" i="9" s="1"/>
  <c r="CT39" i="9" s="1"/>
  <c r="CU39" i="9" s="1"/>
  <c r="CV39" i="9" s="1"/>
  <c r="DG22" i="9"/>
  <c r="DW22" i="9" s="1"/>
  <c r="AQ38" i="9"/>
  <c r="P39" i="9"/>
  <c r="O41" i="9"/>
  <c r="U41" i="9"/>
  <c r="CS41" i="9" s="1"/>
  <c r="CT41" i="9" s="1"/>
  <c r="CU41" i="9" s="1"/>
  <c r="CV41" i="9" s="1"/>
  <c r="AN12" i="9"/>
  <c r="AO12" i="9" s="1"/>
  <c r="U47" i="9"/>
  <c r="CS47" i="9" s="1"/>
  <c r="CT47" i="9" s="1"/>
  <c r="CU47" i="9" s="1"/>
  <c r="CV47" i="9" s="1"/>
  <c r="P15" i="9"/>
  <c r="N46" i="9"/>
  <c r="P13" i="9"/>
  <c r="W15" i="9"/>
  <c r="X15" i="9" s="1"/>
  <c r="AN43" i="9"/>
  <c r="AO43" i="9" s="1"/>
  <c r="DH25" i="9"/>
  <c r="DR25" i="9" s="1"/>
  <c r="DH50" i="9"/>
  <c r="DX50" i="9" s="1"/>
  <c r="DH30" i="9"/>
  <c r="DR30" i="9" s="1"/>
  <c r="DH40" i="9"/>
  <c r="DX40" i="9" s="1"/>
  <c r="DH54" i="9"/>
  <c r="DX54" i="9" s="1"/>
  <c r="DH14" i="9"/>
  <c r="DX14" i="9" s="1"/>
  <c r="DH39" i="9"/>
  <c r="DR39" i="9" s="1"/>
  <c r="DG27" i="9"/>
  <c r="DW27" i="9" s="1"/>
  <c r="DG17" i="9"/>
  <c r="DQ17" i="9" s="1"/>
  <c r="DF6" i="9"/>
  <c r="DV6" i="9" s="1"/>
  <c r="DF57" i="9"/>
  <c r="DV57" i="9" s="1"/>
  <c r="DF16" i="9"/>
  <c r="DV16" i="9" s="1"/>
  <c r="DF28" i="9"/>
  <c r="DV28" i="9" s="1"/>
  <c r="DF33" i="9"/>
  <c r="DV33" i="9" s="1"/>
  <c r="DF50" i="9"/>
  <c r="DP50" i="9" s="1"/>
  <c r="DN6" i="9"/>
  <c r="W13" i="9"/>
  <c r="X13" i="9" s="1"/>
  <c r="P44" i="9"/>
  <c r="AT43" i="9"/>
  <c r="AU43" i="9" s="1"/>
  <c r="DH13" i="9"/>
  <c r="DX13" i="9" s="1"/>
  <c r="O44" i="9"/>
  <c r="DH37" i="9"/>
  <c r="DX37" i="9" s="1"/>
  <c r="AQ12" i="9"/>
  <c r="O13" i="9"/>
  <c r="N39" i="9"/>
  <c r="U44" i="9"/>
  <c r="CS44" i="9" s="1"/>
  <c r="CT44" i="9" s="1"/>
  <c r="CU44" i="9" s="1"/>
  <c r="CV44" i="9" s="1"/>
  <c r="DH18" i="9"/>
  <c r="DR18" i="9" s="1"/>
  <c r="DH33" i="9"/>
  <c r="DX33" i="9" s="1"/>
  <c r="DH35" i="9"/>
  <c r="DX35" i="9" s="1"/>
  <c r="DF36" i="9"/>
  <c r="DV36" i="9" s="1"/>
  <c r="DF21" i="9"/>
  <c r="DV21" i="9" s="1"/>
  <c r="AN50" i="9"/>
  <c r="AO50" i="9" s="1"/>
  <c r="U43" i="9"/>
  <c r="CS43" i="9" s="1"/>
  <c r="CT43" i="9" s="1"/>
  <c r="CU43" i="9" s="1"/>
  <c r="CV43" i="9" s="1"/>
  <c r="U15" i="9"/>
  <c r="CS15" i="9" s="1"/>
  <c r="CT15" i="9" s="1"/>
  <c r="CU15" i="9" s="1"/>
  <c r="CV15" i="9" s="1"/>
  <c r="U54" i="9"/>
  <c r="CS54" i="9" s="1"/>
  <c r="CT54" i="9" s="1"/>
  <c r="CU54" i="9" s="1"/>
  <c r="CV54" i="9" s="1"/>
  <c r="DH48" i="9"/>
  <c r="DX48" i="9" s="1"/>
  <c r="DH7" i="9"/>
  <c r="DX7" i="9" s="1"/>
  <c r="DH21" i="9"/>
  <c r="DR21" i="9" s="1"/>
  <c r="DH26" i="9"/>
  <c r="DX26" i="9" s="1"/>
  <c r="DH45" i="9"/>
  <c r="DX45" i="9" s="1"/>
  <c r="DH8" i="9"/>
  <c r="DX8" i="9" s="1"/>
  <c r="DH31" i="9"/>
  <c r="DX31" i="9" s="1"/>
  <c r="DG39" i="9"/>
  <c r="DQ39" i="9" s="1"/>
  <c r="DG42" i="9"/>
  <c r="DW42" i="9" s="1"/>
  <c r="DF29" i="9"/>
  <c r="DV29" i="9" s="1"/>
  <c r="DF48" i="9"/>
  <c r="DP48" i="9" s="1"/>
  <c r="DF5" i="9"/>
  <c r="DV5" i="9" s="1"/>
  <c r="DF19" i="9"/>
  <c r="DP19" i="9" s="1"/>
  <c r="DF24" i="9"/>
  <c r="DV24" i="9" s="1"/>
  <c r="DF38" i="9"/>
  <c r="DP38" i="9" s="1"/>
  <c r="DT56" i="9"/>
  <c r="DH44" i="9"/>
  <c r="DX44" i="9" s="1"/>
  <c r="DH47" i="9"/>
  <c r="DX47" i="9" s="1"/>
  <c r="DH15" i="9"/>
  <c r="DR15" i="9" s="1"/>
  <c r="DG8" i="9"/>
  <c r="DQ8" i="9" s="1"/>
  <c r="O39" i="9"/>
  <c r="AT12" i="9"/>
  <c r="AU12" i="9" s="1"/>
  <c r="DH42" i="9"/>
  <c r="DR42" i="9" s="1"/>
  <c r="U17" i="9"/>
  <c r="CS17" i="9" s="1"/>
  <c r="CT17" i="9" s="1"/>
  <c r="CU17" i="9" s="1"/>
  <c r="CV17" i="9" s="1"/>
  <c r="DH28" i="9"/>
  <c r="DR28" i="9" s="1"/>
  <c r="DH12" i="9"/>
  <c r="DR12" i="9" s="1"/>
  <c r="DG46" i="9"/>
  <c r="DQ46" i="9" s="1"/>
  <c r="DF12" i="9"/>
  <c r="DV12" i="9" s="1"/>
  <c r="DF42" i="9"/>
  <c r="DP42" i="9" s="1"/>
  <c r="AQ49" i="9"/>
  <c r="AT49" i="9"/>
  <c r="AU49" i="9" s="1"/>
  <c r="N15" i="9"/>
  <c r="P46" i="9"/>
  <c r="P41" i="9"/>
  <c r="AN35" i="9"/>
  <c r="AO35" i="9" s="1"/>
  <c r="W44" i="9"/>
  <c r="X44" i="9" s="1"/>
  <c r="DH57" i="9"/>
  <c r="DR57" i="9" s="1"/>
  <c r="DH5" i="9"/>
  <c r="DR5" i="9" s="1"/>
  <c r="DH10" i="9"/>
  <c r="DX10" i="9" s="1"/>
  <c r="DH24" i="9"/>
  <c r="DX24" i="9" s="1"/>
  <c r="DH38" i="9"/>
  <c r="DR38" i="9" s="1"/>
  <c r="DH59" i="9"/>
  <c r="DR59" i="9" s="1"/>
  <c r="DH27" i="9"/>
  <c r="DR27" i="9" s="1"/>
  <c r="DG53" i="9"/>
  <c r="DQ53" i="9" s="1"/>
  <c r="DG14" i="9"/>
  <c r="DW14" i="9" s="1"/>
  <c r="DF27" i="9"/>
  <c r="DP27" i="9" s="1"/>
  <c r="DF41" i="9"/>
  <c r="DP41" i="9" s="1"/>
  <c r="DF53" i="9"/>
  <c r="DV53" i="9" s="1"/>
  <c r="DF10" i="9"/>
  <c r="DV10" i="9" s="1"/>
  <c r="DF15" i="9"/>
  <c r="DV15" i="9" s="1"/>
  <c r="DF34" i="9"/>
  <c r="DP34" i="9" s="1"/>
  <c r="U13" i="9"/>
  <c r="CS13" i="9" s="1"/>
  <c r="CT13" i="9" s="1"/>
  <c r="CU13" i="9" s="1"/>
  <c r="CV13" i="9" s="1"/>
  <c r="W41" i="9"/>
  <c r="X41" i="9" s="1"/>
  <c r="DH49" i="9"/>
  <c r="DR49" i="9" s="1"/>
  <c r="DH9" i="9"/>
  <c r="DR9" i="9" s="1"/>
  <c r="O15" i="9"/>
  <c r="DH34" i="9"/>
  <c r="DX34" i="9" s="1"/>
  <c r="DH52" i="9"/>
  <c r="DR52" i="9" s="1"/>
  <c r="DG9" i="9"/>
  <c r="DQ9" i="9" s="1"/>
  <c r="DF55" i="9"/>
  <c r="DV55" i="9" s="1"/>
  <c r="DF31" i="9"/>
  <c r="DP31" i="9" s="1"/>
  <c r="AT48" i="9"/>
  <c r="AU48" i="9" s="1"/>
  <c r="N13" i="9"/>
  <c r="AN49" i="9"/>
  <c r="AO49" i="9" s="1"/>
  <c r="AQ35" i="9"/>
  <c r="AQ43" i="9"/>
  <c r="DH16" i="9"/>
  <c r="DR16" i="9" s="1"/>
  <c r="DH53" i="9"/>
  <c r="DX53" i="9" s="1"/>
  <c r="DH58" i="9"/>
  <c r="DX58" i="9" s="1"/>
  <c r="DH17" i="9"/>
  <c r="DR17" i="9" s="1"/>
  <c r="DH36" i="9"/>
  <c r="DX36" i="9" s="1"/>
  <c r="DH55" i="9"/>
  <c r="DR55" i="9" s="1"/>
  <c r="DH23" i="9"/>
  <c r="DR23" i="9" s="1"/>
  <c r="DG51" i="9"/>
  <c r="DQ51" i="9" s="1"/>
  <c r="DG4" i="9"/>
  <c r="DQ4" i="9" s="1"/>
  <c r="DF20" i="9"/>
  <c r="DP20" i="9" s="1"/>
  <c r="DF39" i="9"/>
  <c r="DV39" i="9" s="1"/>
  <c r="DF51" i="9"/>
  <c r="DP51" i="9" s="1"/>
  <c r="DF8" i="9"/>
  <c r="DV8" i="9" s="1"/>
  <c r="DF4" i="9"/>
  <c r="DV4" i="9" s="1"/>
  <c r="DF26" i="9"/>
  <c r="DV26" i="9" s="1"/>
  <c r="O19" i="9"/>
  <c r="W23" i="9"/>
  <c r="X23" i="9" s="1"/>
  <c r="O50" i="9"/>
  <c r="DT37" i="9"/>
  <c r="U46" i="9"/>
  <c r="CS46" i="9" s="1"/>
  <c r="CT46" i="9" s="1"/>
  <c r="CU46" i="9" s="1"/>
  <c r="CV46" i="9" s="1"/>
  <c r="AR35" i="9"/>
  <c r="AS35" i="9" s="1"/>
  <c r="W37" i="9"/>
  <c r="X37" i="9" s="1"/>
  <c r="DG36" i="9"/>
  <c r="DQ36" i="9" s="1"/>
  <c r="DG13" i="9"/>
  <c r="DW13" i="9" s="1"/>
  <c r="DG5" i="9"/>
  <c r="DW5" i="9" s="1"/>
  <c r="DG19" i="9"/>
  <c r="DQ19" i="9" s="1"/>
  <c r="DG31" i="9"/>
  <c r="DW31" i="9" s="1"/>
  <c r="DG50" i="9"/>
  <c r="DQ50" i="9" s="1"/>
  <c r="DG18" i="9"/>
  <c r="DW18" i="9" s="1"/>
  <c r="DD45" i="9"/>
  <c r="N17" i="9"/>
  <c r="DG20" i="9"/>
  <c r="DW20" i="9" s="1"/>
  <c r="DG32" i="9"/>
  <c r="DW32" i="9" s="1"/>
  <c r="DG44" i="9"/>
  <c r="DQ44" i="9" s="1"/>
  <c r="DG15" i="9"/>
  <c r="DQ15" i="9" s="1"/>
  <c r="DG38" i="9"/>
  <c r="DW38" i="9" s="1"/>
  <c r="W19" i="9"/>
  <c r="X19" i="9" s="1"/>
  <c r="O17" i="9"/>
  <c r="DG52" i="9"/>
  <c r="DQ52" i="9" s="1"/>
  <c r="DG59" i="9"/>
  <c r="DQ59" i="9" s="1"/>
  <c r="DG25" i="9"/>
  <c r="DQ25" i="9" s="1"/>
  <c r="DG37" i="9"/>
  <c r="DW37" i="9" s="1"/>
  <c r="DG49" i="9"/>
  <c r="DQ49" i="9" s="1"/>
  <c r="DG11" i="9"/>
  <c r="DW11" i="9" s="1"/>
  <c r="DG34" i="9"/>
  <c r="DW34" i="9" s="1"/>
  <c r="N6" i="9"/>
  <c r="P17" i="9"/>
  <c r="AN48" i="9"/>
  <c r="AO48" i="9" s="1"/>
  <c r="P19" i="9"/>
  <c r="O46" i="9"/>
  <c r="O31" i="9"/>
  <c r="W39" i="9"/>
  <c r="X39" i="9" s="1"/>
  <c r="W42" i="9"/>
  <c r="X42" i="9" s="1"/>
  <c r="DG48" i="9"/>
  <c r="DQ48" i="9" s="1"/>
  <c r="DG55" i="9"/>
  <c r="DW55" i="9" s="1"/>
  <c r="DG23" i="9"/>
  <c r="DW23" i="9" s="1"/>
  <c r="DG35" i="9"/>
  <c r="DW35" i="9" s="1"/>
  <c r="DG47" i="9"/>
  <c r="DQ47" i="9" s="1"/>
  <c r="DG7" i="9"/>
  <c r="DW7" i="9" s="1"/>
  <c r="DG30" i="9"/>
  <c r="DQ30" i="9" s="1"/>
  <c r="DC39" i="9"/>
  <c r="DM39" i="9" s="1"/>
  <c r="DN54" i="9"/>
  <c r="U7" i="9"/>
  <c r="CS7" i="9" s="1"/>
  <c r="CT7" i="9" s="1"/>
  <c r="CU7" i="9" s="1"/>
  <c r="CV7" i="9" s="1"/>
  <c r="AN13" i="9"/>
  <c r="AO13" i="9" s="1"/>
  <c r="DG43" i="9"/>
  <c r="DW43" i="9" s="1"/>
  <c r="DG56" i="9"/>
  <c r="DQ56" i="9" s="1"/>
  <c r="W17" i="9"/>
  <c r="X17" i="9" s="1"/>
  <c r="U12" i="9"/>
  <c r="CS12" i="9" s="1"/>
  <c r="CT12" i="9" s="1"/>
  <c r="CU12" i="9" s="1"/>
  <c r="CV12" i="9" s="1"/>
  <c r="P50" i="9"/>
  <c r="P28" i="9"/>
  <c r="N19" i="9"/>
  <c r="DG6" i="9"/>
  <c r="DW6" i="9" s="1"/>
  <c r="DG45" i="9"/>
  <c r="DW45" i="9" s="1"/>
  <c r="DG16" i="9"/>
  <c r="DW16" i="9" s="1"/>
  <c r="DG28" i="9"/>
  <c r="DQ28" i="9" s="1"/>
  <c r="DG40" i="9"/>
  <c r="DW40" i="9" s="1"/>
  <c r="DG58" i="9"/>
  <c r="DW58" i="9" s="1"/>
  <c r="DG26" i="9"/>
  <c r="DW26" i="9" s="1"/>
  <c r="AT13" i="9"/>
  <c r="AU13" i="9" s="1"/>
  <c r="U50" i="9"/>
  <c r="CS50" i="9" s="1"/>
  <c r="CT50" i="9" s="1"/>
  <c r="CU50" i="9" s="1"/>
  <c r="CV50" i="9" s="1"/>
  <c r="O28" i="9"/>
  <c r="AQ13" i="9"/>
  <c r="W50" i="9"/>
  <c r="X50" i="9" s="1"/>
  <c r="DG57" i="9"/>
  <c r="DQ57" i="9" s="1"/>
  <c r="DG41" i="9"/>
  <c r="DW41" i="9" s="1"/>
  <c r="DG12" i="9"/>
  <c r="DQ12" i="9" s="1"/>
  <c r="DG21" i="9"/>
  <c r="DW21" i="9" s="1"/>
  <c r="DG33" i="9"/>
  <c r="DQ33" i="9" s="1"/>
  <c r="DG54" i="9"/>
  <c r="DQ54" i="9" s="1"/>
  <c r="DD38" i="9"/>
  <c r="P25" i="9"/>
  <c r="P45" i="9"/>
  <c r="W45" i="9"/>
  <c r="X45" i="9" s="1"/>
  <c r="U28" i="9"/>
  <c r="CS28" i="9" s="1"/>
  <c r="CT28" i="9" s="1"/>
  <c r="CU28" i="9" s="1"/>
  <c r="CV28" i="9" s="1"/>
  <c r="U25" i="9"/>
  <c r="CS25" i="9" s="1"/>
  <c r="CT25" i="9" s="1"/>
  <c r="CU25" i="9" s="1"/>
  <c r="CV25" i="9" s="1"/>
  <c r="AQ26" i="9"/>
  <c r="N26" i="9"/>
  <c r="N52" i="9"/>
  <c r="N28" i="9"/>
  <c r="O26" i="9"/>
  <c r="O52" i="9"/>
  <c r="AQ54" i="9"/>
  <c r="W25" i="9"/>
  <c r="X25" i="9" s="1"/>
  <c r="W26" i="9"/>
  <c r="X26" i="9" s="1"/>
  <c r="AQ47" i="9"/>
  <c r="AN25" i="9"/>
  <c r="AO25" i="9" s="1"/>
  <c r="DF40" i="9"/>
  <c r="DV40" i="9" s="1"/>
  <c r="DF7" i="9"/>
  <c r="DP7" i="9" s="1"/>
  <c r="DF30" i="9"/>
  <c r="DV30" i="9" s="1"/>
  <c r="DD48" i="9"/>
  <c r="DN39" i="9"/>
  <c r="U52" i="9"/>
  <c r="CS52" i="9" s="1"/>
  <c r="CT52" i="9" s="1"/>
  <c r="CU52" i="9" s="1"/>
  <c r="CV52" i="9" s="1"/>
  <c r="W24" i="9"/>
  <c r="X24" i="9" s="1"/>
  <c r="U51" i="9"/>
  <c r="CS51" i="9" s="1"/>
  <c r="CT51" i="9" s="1"/>
  <c r="CU51" i="9" s="1"/>
  <c r="CV51" i="9" s="1"/>
  <c r="AR54" i="9"/>
  <c r="AS54" i="9" s="1"/>
  <c r="AR25" i="9"/>
  <c r="AS25" i="9" s="1"/>
  <c r="O25" i="9"/>
  <c r="P51" i="9"/>
  <c r="U42" i="9"/>
  <c r="CS42" i="9" s="1"/>
  <c r="CT42" i="9" s="1"/>
  <c r="CU42" i="9" s="1"/>
  <c r="CV42" i="9" s="1"/>
  <c r="O45" i="9"/>
  <c r="AN28" i="9"/>
  <c r="AO28" i="9" s="1"/>
  <c r="W31" i="9"/>
  <c r="X31" i="9" s="1"/>
  <c r="AN47" i="9"/>
  <c r="AO47" i="9" s="1"/>
  <c r="DC9" i="9"/>
  <c r="DM9" i="9" s="1"/>
  <c r="P27" i="9"/>
  <c r="AT26" i="9"/>
  <c r="AU26" i="9" s="1"/>
  <c r="W51" i="9"/>
  <c r="X51" i="9" s="1"/>
  <c r="N31" i="9"/>
  <c r="P42" i="9"/>
  <c r="N42" i="9"/>
  <c r="AT25" i="9"/>
  <c r="AU25" i="9" s="1"/>
  <c r="P26" i="9"/>
  <c r="AN6" i="9"/>
  <c r="AO6" i="9" s="1"/>
  <c r="U16" i="9"/>
  <c r="CS16" i="9" s="1"/>
  <c r="CT16" i="9" s="1"/>
  <c r="CU16" i="9" s="1"/>
  <c r="CV16" i="9" s="1"/>
  <c r="W20" i="9"/>
  <c r="X20" i="9" s="1"/>
  <c r="DE25" i="9"/>
  <c r="DU25" i="9" s="1"/>
  <c r="U27" i="9"/>
  <c r="CS27" i="9" s="1"/>
  <c r="CT27" i="9" s="1"/>
  <c r="CU27" i="9" s="1"/>
  <c r="CV27" i="9" s="1"/>
  <c r="AN26" i="9"/>
  <c r="AO26" i="9" s="1"/>
  <c r="AT6" i="9"/>
  <c r="AU6" i="9" s="1"/>
  <c r="U26" i="9"/>
  <c r="CS26" i="9" s="1"/>
  <c r="CT26" i="9" s="1"/>
  <c r="CU26" i="9" s="1"/>
  <c r="CV26" i="9" s="1"/>
  <c r="O51" i="9"/>
  <c r="N45" i="9"/>
  <c r="N51" i="9"/>
  <c r="P31" i="9"/>
  <c r="O42" i="9"/>
  <c r="AN54" i="9"/>
  <c r="AO54" i="9" s="1"/>
  <c r="DC14" i="9"/>
  <c r="DS14" i="9" s="1"/>
  <c r="DF17" i="9"/>
  <c r="DV17" i="9" s="1"/>
  <c r="DF46" i="9"/>
  <c r="DP46" i="9" s="1"/>
  <c r="DF14" i="9"/>
  <c r="DV14" i="9" s="1"/>
  <c r="U31" i="9"/>
  <c r="CS31" i="9" s="1"/>
  <c r="CT31" i="9" s="1"/>
  <c r="CU31" i="9" s="1"/>
  <c r="CV31" i="9" s="1"/>
  <c r="DD41" i="9"/>
  <c r="DT29" i="9"/>
  <c r="U53" i="9"/>
  <c r="CS53" i="9" s="1"/>
  <c r="CT53" i="9" s="1"/>
  <c r="CU53" i="9" s="1"/>
  <c r="CV53" i="9" s="1"/>
  <c r="DC17" i="9"/>
  <c r="DS17" i="9" s="1"/>
  <c r="DD56" i="9"/>
  <c r="DD12" i="9"/>
  <c r="DD29" i="9"/>
  <c r="DC21" i="9"/>
  <c r="DM21" i="9" s="1"/>
  <c r="DT19" i="9"/>
  <c r="DT55" i="9"/>
  <c r="DT5" i="9"/>
  <c r="DN20" i="9"/>
  <c r="DN45" i="9"/>
  <c r="N38" i="9"/>
  <c r="P20" i="9"/>
  <c r="O20" i="9"/>
  <c r="AN38" i="9"/>
  <c r="AO38" i="9" s="1"/>
  <c r="U19" i="9"/>
  <c r="CS19" i="9" s="1"/>
  <c r="CT19" i="9" s="1"/>
  <c r="CU19" i="9" s="1"/>
  <c r="CV19" i="9" s="1"/>
  <c r="AT36" i="9"/>
  <c r="AU36" i="9" s="1"/>
  <c r="W28" i="9"/>
  <c r="X28" i="9" s="1"/>
  <c r="W52" i="9"/>
  <c r="X52" i="9" s="1"/>
  <c r="DC48" i="9"/>
  <c r="DS48" i="9" s="1"/>
  <c r="DE52" i="9"/>
  <c r="DU52" i="9" s="1"/>
  <c r="DD59" i="9"/>
  <c r="DD5" i="9"/>
  <c r="DD14" i="9"/>
  <c r="DC29" i="9"/>
  <c r="DM29" i="9" s="1"/>
  <c r="DT50" i="9"/>
  <c r="DT47" i="9"/>
  <c r="DT36" i="9"/>
  <c r="DN19" i="9"/>
  <c r="DD22" i="9"/>
  <c r="DT32" i="9"/>
  <c r="N36" i="9"/>
  <c r="AT38" i="9"/>
  <c r="AU38" i="9" s="1"/>
  <c r="O36" i="9"/>
  <c r="AN21" i="9"/>
  <c r="AO21" i="9" s="1"/>
  <c r="DD36" i="9"/>
  <c r="DC55" i="9"/>
  <c r="DM55" i="9" s="1"/>
  <c r="DT18" i="9"/>
  <c r="DT28" i="9"/>
  <c r="U48" i="9"/>
  <c r="CS48" i="9" s="1"/>
  <c r="N53" i="9"/>
  <c r="P53" i="9"/>
  <c r="O38" i="9"/>
  <c r="P36" i="9"/>
  <c r="W6" i="9"/>
  <c r="X6" i="9" s="1"/>
  <c r="AQ16" i="9"/>
  <c r="DC52" i="9"/>
  <c r="DM52" i="9" s="1"/>
  <c r="DD34" i="9"/>
  <c r="DD26" i="9"/>
  <c r="DC7" i="9"/>
  <c r="DS7" i="9" s="1"/>
  <c r="DT10" i="9"/>
  <c r="DT46" i="9"/>
  <c r="DN17" i="9"/>
  <c r="DN10" i="9"/>
  <c r="U20" i="9"/>
  <c r="CS20" i="9" s="1"/>
  <c r="CT20" i="9" s="1"/>
  <c r="CU20" i="9" s="1"/>
  <c r="CV20" i="9" s="1"/>
  <c r="W53" i="9"/>
  <c r="X53" i="9" s="1"/>
  <c r="DC18" i="9"/>
  <c r="DM18" i="9" s="1"/>
  <c r="DC34" i="9"/>
  <c r="DM34" i="9" s="1"/>
  <c r="DC49" i="9"/>
  <c r="DS49" i="9" s="1"/>
  <c r="DT27" i="9"/>
  <c r="DN28" i="9"/>
  <c r="O53" i="9"/>
  <c r="DC45" i="9"/>
  <c r="DS45" i="9" s="1"/>
  <c r="DN11" i="9"/>
  <c r="N20" i="9"/>
  <c r="P43" i="9"/>
  <c r="AQ36" i="9"/>
  <c r="AQ28" i="9"/>
  <c r="W36" i="9"/>
  <c r="X36" i="9" s="1"/>
  <c r="DC37" i="9"/>
  <c r="DM37" i="9" s="1"/>
  <c r="DC47" i="9"/>
  <c r="DS47" i="9" s="1"/>
  <c r="DD18" i="9"/>
  <c r="DD19" i="9"/>
  <c r="DC6" i="9"/>
  <c r="DS6" i="9" s="1"/>
  <c r="DT41" i="9"/>
  <c r="DT38" i="9"/>
  <c r="DN40" i="9"/>
  <c r="DN48" i="9"/>
  <c r="W38" i="9"/>
  <c r="X38" i="9" s="1"/>
  <c r="DD32" i="9"/>
  <c r="DN53" i="9"/>
  <c r="AR16" i="9"/>
  <c r="AS16" i="9" s="1"/>
  <c r="DC16" i="9"/>
  <c r="DS16" i="9" s="1"/>
  <c r="DC11" i="9"/>
  <c r="DM11" i="9" s="1"/>
  <c r="DD44" i="9"/>
  <c r="DT23" i="9"/>
  <c r="O6" i="9"/>
  <c r="AQ48" i="9"/>
  <c r="U36" i="9"/>
  <c r="CS36" i="9" s="1"/>
  <c r="CT36" i="9" s="1"/>
  <c r="CU36" i="9" s="1"/>
  <c r="CV36" i="9" s="1"/>
  <c r="O43" i="9"/>
  <c r="P38" i="9"/>
  <c r="AN36" i="9"/>
  <c r="AO36" i="9" s="1"/>
  <c r="AT28" i="9"/>
  <c r="AU28" i="9" s="1"/>
  <c r="DC33" i="9"/>
  <c r="DS33" i="9" s="1"/>
  <c r="DD54" i="9"/>
  <c r="DD55" i="9"/>
  <c r="DD6" i="9"/>
  <c r="DC5" i="9"/>
  <c r="DM5" i="9" s="1"/>
  <c r="DT9" i="9"/>
  <c r="DT14" i="9"/>
  <c r="DN55" i="9"/>
  <c r="DN15" i="9"/>
  <c r="DE33" i="9"/>
  <c r="DO33" i="9" s="1"/>
  <c r="DE10" i="9"/>
  <c r="DU10" i="9" s="1"/>
  <c r="DE51" i="9"/>
  <c r="DU51" i="9" s="1"/>
  <c r="DE32" i="9"/>
  <c r="DU32" i="9" s="1"/>
  <c r="DE20" i="9"/>
  <c r="DU20" i="9" s="1"/>
  <c r="DE56" i="9"/>
  <c r="DU56" i="9" s="1"/>
  <c r="DE13" i="9"/>
  <c r="DO13" i="9" s="1"/>
  <c r="DE19" i="9"/>
  <c r="DO19" i="9" s="1"/>
  <c r="DE46" i="9"/>
  <c r="DU46" i="9" s="1"/>
  <c r="DE22" i="9"/>
  <c r="DO22" i="9" s="1"/>
  <c r="DE37" i="9"/>
  <c r="DU37" i="9" s="1"/>
  <c r="DE15" i="9"/>
  <c r="DO15" i="9" s="1"/>
  <c r="DE58" i="9"/>
  <c r="DO58" i="9" s="1"/>
  <c r="DE39" i="9"/>
  <c r="DU39" i="9" s="1"/>
  <c r="DE27" i="9"/>
  <c r="DU27" i="9" s="1"/>
  <c r="DE11" i="9"/>
  <c r="DO11" i="9" s="1"/>
  <c r="DE59" i="9"/>
  <c r="DO59" i="9" s="1"/>
  <c r="DE41" i="9"/>
  <c r="DU41" i="9" s="1"/>
  <c r="DE5" i="9"/>
  <c r="DU5" i="9" s="1"/>
  <c r="DE34" i="9"/>
  <c r="DU34" i="9" s="1"/>
  <c r="DE8" i="9"/>
  <c r="DU8" i="9" s="1"/>
  <c r="DE17" i="9"/>
  <c r="DU17" i="9" s="1"/>
  <c r="DE49" i="9"/>
  <c r="DO49" i="9" s="1"/>
  <c r="DE28" i="9"/>
  <c r="DO28" i="9" s="1"/>
  <c r="DE4" i="9"/>
  <c r="DO4" i="9" s="1"/>
  <c r="DE55" i="9"/>
  <c r="DU55" i="9" s="1"/>
  <c r="DE40" i="9"/>
  <c r="DO40" i="9" s="1"/>
  <c r="DE47" i="9"/>
  <c r="DO47" i="9" s="1"/>
  <c r="DE21" i="9"/>
  <c r="DO21" i="9" s="1"/>
  <c r="DE53" i="9"/>
  <c r="DU53" i="9" s="1"/>
  <c r="DE35" i="9"/>
  <c r="DO35" i="9" s="1"/>
  <c r="DE16" i="9"/>
  <c r="DO16" i="9" s="1"/>
  <c r="DE7" i="9"/>
  <c r="DO7" i="9" s="1"/>
  <c r="DE50" i="9"/>
  <c r="DO50" i="9" s="1"/>
  <c r="DE24" i="9"/>
  <c r="DU24" i="9" s="1"/>
  <c r="DE54" i="9"/>
  <c r="DU54" i="9" s="1"/>
  <c r="DE44" i="9"/>
  <c r="DO44" i="9" s="1"/>
  <c r="AN46" i="9"/>
  <c r="AO46" i="9" s="1"/>
  <c r="AT46" i="9"/>
  <c r="AU46" i="9" s="1"/>
  <c r="AQ46" i="9"/>
  <c r="AR46" i="9"/>
  <c r="AS46" i="9" s="1"/>
  <c r="AT27" i="9"/>
  <c r="AU27" i="9" s="1"/>
  <c r="AR27" i="9"/>
  <c r="AS27" i="9" s="1"/>
  <c r="AN27" i="9"/>
  <c r="AO27" i="9" s="1"/>
  <c r="AT24" i="9"/>
  <c r="AU24" i="9" s="1"/>
  <c r="AQ24" i="9"/>
  <c r="AR24" i="9"/>
  <c r="AS24" i="9" s="1"/>
  <c r="U49" i="9"/>
  <c r="CS49" i="9" s="1"/>
  <c r="CT49" i="9" s="1"/>
  <c r="CU49" i="9" s="1"/>
  <c r="CV49" i="9" s="1"/>
  <c r="W49" i="9"/>
  <c r="X49" i="9" s="1"/>
  <c r="P48" i="9"/>
  <c r="DE36" i="9"/>
  <c r="DU36" i="9" s="1"/>
  <c r="DE42" i="9"/>
  <c r="DU42" i="9" s="1"/>
  <c r="W48" i="9"/>
  <c r="X48" i="9" s="1"/>
  <c r="DE18" i="9"/>
  <c r="DU18" i="9" s="1"/>
  <c r="DE26" i="9"/>
  <c r="DO26" i="9" s="1"/>
  <c r="DE9" i="9"/>
  <c r="DU9" i="9" s="1"/>
  <c r="DE6" i="9"/>
  <c r="DO6" i="9" s="1"/>
  <c r="DE38" i="9"/>
  <c r="DU38" i="9" s="1"/>
  <c r="DE48" i="9"/>
  <c r="DU48" i="9" s="1"/>
  <c r="DE57" i="9"/>
  <c r="DU57" i="9" s="1"/>
  <c r="CA18" i="9"/>
  <c r="CC18" i="9" s="1"/>
  <c r="U18" i="9"/>
  <c r="CS18" i="9" s="1"/>
  <c r="P18" i="9"/>
  <c r="N18" i="9"/>
  <c r="AN24" i="9"/>
  <c r="AO24" i="9" s="1"/>
  <c r="AQ27" i="9"/>
  <c r="DE31" i="9"/>
  <c r="DU31" i="9" s="1"/>
  <c r="DE30" i="9"/>
  <c r="DU30" i="9" s="1"/>
  <c r="DE45" i="9"/>
  <c r="DU45" i="9" s="1"/>
  <c r="CA48" i="9"/>
  <c r="CC48" i="9" s="1"/>
  <c r="N48" i="9"/>
  <c r="DE14" i="9"/>
  <c r="DU14" i="9" s="1"/>
  <c r="B28" i="9"/>
  <c r="B31" i="23" s="1"/>
  <c r="O48" i="9"/>
  <c r="O18" i="9"/>
  <c r="DE43" i="9"/>
  <c r="DU43" i="9" s="1"/>
  <c r="DE23" i="9"/>
  <c r="DO23" i="9" s="1"/>
  <c r="DE29" i="9"/>
  <c r="DU29" i="9" s="1"/>
  <c r="DC44" i="9"/>
  <c r="DS44" i="9" s="1"/>
  <c r="DC30" i="9"/>
  <c r="DS30" i="9" s="1"/>
  <c r="DC27" i="9"/>
  <c r="DM27" i="9" s="1"/>
  <c r="DC15" i="9"/>
  <c r="DM15" i="9" s="1"/>
  <c r="DD40" i="9"/>
  <c r="DD13" i="9"/>
  <c r="DD27" i="9"/>
  <c r="DD46" i="9"/>
  <c r="DD58" i="9"/>
  <c r="DD15" i="9"/>
  <c r="DD37" i="9"/>
  <c r="DC38" i="9"/>
  <c r="DM38" i="9" s="1"/>
  <c r="DC43" i="9"/>
  <c r="DS43" i="9" s="1"/>
  <c r="DC53" i="9"/>
  <c r="DM53" i="9" s="1"/>
  <c r="DT11" i="9"/>
  <c r="DT57" i="9"/>
  <c r="DT48" i="9"/>
  <c r="DT39" i="9"/>
  <c r="DT30" i="9"/>
  <c r="DT21" i="9"/>
  <c r="DT20" i="9"/>
  <c r="DN57" i="9"/>
  <c r="DN23" i="9"/>
  <c r="DN12" i="9"/>
  <c r="DN58" i="9"/>
  <c r="DN32" i="9"/>
  <c r="DN46" i="9"/>
  <c r="DN37" i="9"/>
  <c r="N25" i="9"/>
  <c r="U6" i="9"/>
  <c r="CS6" i="9" s="1"/>
  <c r="CT6" i="9" s="1"/>
  <c r="CU6" i="9" s="1"/>
  <c r="CV6" i="9" s="1"/>
  <c r="U45" i="9"/>
  <c r="CS45" i="9" s="1"/>
  <c r="CT45" i="9" s="1"/>
  <c r="CU45" i="9" s="1"/>
  <c r="CV45" i="9" s="1"/>
  <c r="N27" i="9"/>
  <c r="O27" i="9"/>
  <c r="W54" i="9"/>
  <c r="X54" i="9" s="1"/>
  <c r="AT16" i="9"/>
  <c r="AU16" i="9" s="1"/>
  <c r="DC23" i="9"/>
  <c r="DS23" i="9" s="1"/>
  <c r="DC25" i="9"/>
  <c r="DS25" i="9" s="1"/>
  <c r="DC4" i="9"/>
  <c r="DS4" i="9" s="1"/>
  <c r="DC35" i="9"/>
  <c r="DS35" i="9" s="1"/>
  <c r="DD8" i="9"/>
  <c r="DD11" i="9"/>
  <c r="DD20" i="9"/>
  <c r="DD39" i="9"/>
  <c r="DD51" i="9"/>
  <c r="DD10" i="9"/>
  <c r="DD33" i="9"/>
  <c r="DC36" i="9"/>
  <c r="DM36" i="9" s="1"/>
  <c r="DC10" i="9"/>
  <c r="DS10" i="9" s="1"/>
  <c r="DC57" i="9"/>
  <c r="DS57" i="9" s="1"/>
  <c r="DT58" i="9"/>
  <c r="DT49" i="9"/>
  <c r="DT40" i="9"/>
  <c r="DT31" i="9"/>
  <c r="DT22" i="9"/>
  <c r="DT13" i="9"/>
  <c r="DT12" i="9"/>
  <c r="DN49" i="9"/>
  <c r="DN7" i="9"/>
  <c r="DN59" i="9"/>
  <c r="DN50" i="9"/>
  <c r="DN24" i="9"/>
  <c r="DN38" i="9"/>
  <c r="DN29" i="9"/>
  <c r="DC59" i="9"/>
  <c r="DM59" i="9" s="1"/>
  <c r="DD31" i="9"/>
  <c r="DD30" i="9"/>
  <c r="DC51" i="9"/>
  <c r="DS51" i="9" s="1"/>
  <c r="DT42" i="9"/>
  <c r="DN43" i="9"/>
  <c r="P54" i="9"/>
  <c r="W27" i="9"/>
  <c r="X27" i="9" s="1"/>
  <c r="AT47" i="9"/>
  <c r="AU47" i="9" s="1"/>
  <c r="DC19" i="9"/>
  <c r="DM19" i="9" s="1"/>
  <c r="DC8" i="9"/>
  <c r="DS8" i="9" s="1"/>
  <c r="DC24" i="9"/>
  <c r="DS24" i="9" s="1"/>
  <c r="DC46" i="9"/>
  <c r="DS46" i="9" s="1"/>
  <c r="DD24" i="9"/>
  <c r="DD50" i="9"/>
  <c r="DD9" i="9"/>
  <c r="DD23" i="9"/>
  <c r="DD35" i="9"/>
  <c r="DD53" i="9"/>
  <c r="DD21" i="9"/>
  <c r="DC40" i="9"/>
  <c r="DM40" i="9" s="1"/>
  <c r="DC54" i="9"/>
  <c r="DM54" i="9" s="1"/>
  <c r="DC32" i="9"/>
  <c r="DM32" i="9" s="1"/>
  <c r="DT51" i="9"/>
  <c r="DT34" i="9"/>
  <c r="DT25" i="9"/>
  <c r="DT16" i="9"/>
  <c r="DT7" i="9"/>
  <c r="DT53" i="9"/>
  <c r="DT52" i="9"/>
  <c r="B163" i="23"/>
  <c r="DN9" i="9"/>
  <c r="DN44" i="9"/>
  <c r="DN35" i="9"/>
  <c r="DN26" i="9"/>
  <c r="DN47" i="9"/>
  <c r="DN14" i="9"/>
  <c r="DN5" i="9"/>
  <c r="DT43" i="9"/>
  <c r="DN33" i="9"/>
  <c r="DN4" i="9"/>
  <c r="DN51" i="9"/>
  <c r="DN42" i="9"/>
  <c r="DN16" i="9"/>
  <c r="DN30" i="9"/>
  <c r="DN21" i="9"/>
  <c r="DC26" i="9"/>
  <c r="DM26" i="9" s="1"/>
  <c r="DC12" i="9"/>
  <c r="DM12" i="9" s="1"/>
  <c r="DC28" i="9"/>
  <c r="DS28" i="9" s="1"/>
  <c r="DD52" i="9"/>
  <c r="DD4" i="9"/>
  <c r="DD42" i="9"/>
  <c r="DD57" i="9"/>
  <c r="DD25" i="9"/>
  <c r="DC50" i="9"/>
  <c r="DM50" i="9" s="1"/>
  <c r="DC31" i="9"/>
  <c r="DS31" i="9" s="1"/>
  <c r="D120" i="9"/>
  <c r="DT33" i="9"/>
  <c r="DT24" i="9"/>
  <c r="DT15" i="9"/>
  <c r="DT6" i="9"/>
  <c r="DT4" i="9"/>
  <c r="DT59" i="9"/>
  <c r="DN25" i="9"/>
  <c r="DN52" i="9"/>
  <c r="DN34" i="9"/>
  <c r="DN8" i="9"/>
  <c r="DN22" i="9"/>
  <c r="DN13" i="9"/>
  <c r="AQ21" i="9"/>
  <c r="AT21" i="9"/>
  <c r="AU21" i="9" s="1"/>
  <c r="N54" i="9"/>
  <c r="DC42" i="9"/>
  <c r="DM42" i="9" s="1"/>
  <c r="DC20" i="9"/>
  <c r="DS20" i="9" s="1"/>
  <c r="DC56" i="9"/>
  <c r="DM56" i="9" s="1"/>
  <c r="DC22" i="9"/>
  <c r="DM22" i="9" s="1"/>
  <c r="DD47" i="9"/>
  <c r="DD43" i="9"/>
  <c r="DD7" i="9"/>
  <c r="DD16" i="9"/>
  <c r="DD28" i="9"/>
  <c r="DD49" i="9"/>
  <c r="DD17" i="9"/>
  <c r="DC41" i="9"/>
  <c r="DS41" i="9" s="1"/>
  <c r="DC13" i="9"/>
  <c r="DS13" i="9" s="1"/>
  <c r="DC58" i="9"/>
  <c r="DM58" i="9" s="1"/>
  <c r="DT35" i="9"/>
  <c r="DT26" i="9"/>
  <c r="DT17" i="9"/>
  <c r="DT8" i="9"/>
  <c r="DT54" i="9"/>
  <c r="DT45" i="9"/>
  <c r="DT44" i="9"/>
  <c r="DN41" i="9"/>
  <c r="DN56" i="9"/>
  <c r="DN36" i="9"/>
  <c r="DN27" i="9"/>
  <c r="DN18" i="9"/>
  <c r="DN31" i="9"/>
  <c r="CK12" i="2"/>
  <c r="CS12" i="2" s="1"/>
  <c r="CT12" i="2" s="1"/>
  <c r="CU12" i="2" s="1"/>
  <c r="CK25" i="2"/>
  <c r="CS25" i="2" s="1"/>
  <c r="CT25" i="2" s="1"/>
  <c r="CU25" i="2" s="1"/>
  <c r="CK47" i="2"/>
  <c r="CS47" i="2" s="1"/>
  <c r="CT47" i="2" s="1"/>
  <c r="CU47" i="2" s="1"/>
  <c r="CK51" i="2"/>
  <c r="CS51" i="2" s="1"/>
  <c r="CT51" i="2" s="1"/>
  <c r="CU51" i="2" s="1"/>
  <c r="CK7" i="2"/>
  <c r="CS7" i="2" s="1"/>
  <c r="CT7" i="2" s="1"/>
  <c r="CU7" i="2" s="1"/>
  <c r="CK54" i="2"/>
  <c r="CS54" i="2" s="1"/>
  <c r="CT54" i="2" s="1"/>
  <c r="CU54" i="2" s="1"/>
  <c r="CK44" i="2"/>
  <c r="CS44" i="2" s="1"/>
  <c r="CT44" i="2" s="1"/>
  <c r="CU44" i="2" s="1"/>
  <c r="CK9" i="2"/>
  <c r="CS9" i="2" s="1"/>
  <c r="CT9" i="2" s="1"/>
  <c r="CU9" i="2" s="1"/>
  <c r="CK37" i="2"/>
  <c r="CS37" i="2" s="1"/>
  <c r="CT37" i="2" s="1"/>
  <c r="CU37" i="2" s="1"/>
  <c r="CK34" i="2"/>
  <c r="CS34" i="2" s="1"/>
  <c r="CT34" i="2" s="1"/>
  <c r="CU34" i="2" s="1"/>
  <c r="CK15" i="2"/>
  <c r="CS15" i="2" s="1"/>
  <c r="CT15" i="2" s="1"/>
  <c r="CU15" i="2" s="1"/>
  <c r="CK11" i="2"/>
  <c r="CS11" i="2" s="1"/>
  <c r="CT11" i="2" s="1"/>
  <c r="CU11" i="2" s="1"/>
  <c r="CK42" i="2"/>
  <c r="CS42" i="2" s="1"/>
  <c r="CT42" i="2" s="1"/>
  <c r="CU42" i="2" s="1"/>
  <c r="CW21" i="16"/>
  <c r="CX21" i="16" s="1"/>
  <c r="CY21" i="16" s="1"/>
  <c r="CK31" i="2"/>
  <c r="CS31" i="2" s="1"/>
  <c r="CT31" i="2" s="1"/>
  <c r="CU31" i="2" s="1"/>
  <c r="CK20" i="2"/>
  <c r="CS20" i="2" s="1"/>
  <c r="CT20" i="2" s="1"/>
  <c r="CU20" i="2" s="1"/>
  <c r="CK35" i="2"/>
  <c r="CS35" i="2" s="1"/>
  <c r="CT35" i="2" s="1"/>
  <c r="CU35" i="2" s="1"/>
  <c r="CK50" i="2"/>
  <c r="CS50" i="2" s="1"/>
  <c r="CT50" i="2" s="1"/>
  <c r="CU50" i="2" s="1"/>
  <c r="CK8" i="2"/>
  <c r="CS8" i="2" s="1"/>
  <c r="CT8" i="2" s="1"/>
  <c r="CU8" i="2" s="1"/>
  <c r="CK49" i="2"/>
  <c r="CS49" i="2" s="1"/>
  <c r="CT49" i="2" s="1"/>
  <c r="CU49" i="2" s="1"/>
  <c r="CK40" i="2"/>
  <c r="CS40" i="2" s="1"/>
  <c r="CT40" i="2" s="1"/>
  <c r="CU40" i="2" s="1"/>
  <c r="CK33" i="2"/>
  <c r="CS33" i="2" s="1"/>
  <c r="CT33" i="2" s="1"/>
  <c r="CU33" i="2" s="1"/>
  <c r="CK6" i="2"/>
  <c r="CS6" i="2" s="1"/>
  <c r="CT6" i="2" s="1"/>
  <c r="CU6" i="2" s="1"/>
  <c r="CK24" i="2"/>
  <c r="CS24" i="2" s="1"/>
  <c r="CT24" i="2" s="1"/>
  <c r="CU24" i="2" s="1"/>
  <c r="CK30" i="2"/>
  <c r="CS30" i="2" s="1"/>
  <c r="CT30" i="2" s="1"/>
  <c r="CU30" i="2" s="1"/>
  <c r="CK22" i="2"/>
  <c r="CS22" i="2" s="1"/>
  <c r="CT22" i="2" s="1"/>
  <c r="CU22" i="2" s="1"/>
  <c r="CW29" i="16"/>
  <c r="CX29" i="16" s="1"/>
  <c r="CY29" i="16" s="1"/>
  <c r="CK16" i="2"/>
  <c r="CS16" i="2" s="1"/>
  <c r="CT16" i="2" s="1"/>
  <c r="CU16" i="2" s="1"/>
  <c r="CK14" i="2"/>
  <c r="CS14" i="2" s="1"/>
  <c r="CT14" i="2" s="1"/>
  <c r="CU14" i="2" s="1"/>
  <c r="CK4" i="8"/>
  <c r="CS4" i="8" s="1"/>
  <c r="CT4" i="8" s="1"/>
  <c r="CU4" i="8" s="1"/>
  <c r="CK18" i="2"/>
  <c r="CS18" i="2" s="1"/>
  <c r="CT18" i="2" s="1"/>
  <c r="CU18" i="2" s="1"/>
  <c r="CK32" i="2"/>
  <c r="CS32" i="2" s="1"/>
  <c r="CT32" i="2" s="1"/>
  <c r="CU32" i="2" s="1"/>
  <c r="CK17" i="2"/>
  <c r="CS17" i="2" s="1"/>
  <c r="CT17" i="2" s="1"/>
  <c r="CU17" i="2" s="1"/>
  <c r="CK52" i="2"/>
  <c r="CS52" i="2" s="1"/>
  <c r="CT52" i="2" s="1"/>
  <c r="CU52" i="2" s="1"/>
  <c r="CK41" i="2"/>
  <c r="CS41" i="2" s="1"/>
  <c r="CT41" i="2" s="1"/>
  <c r="CU41" i="2" s="1"/>
  <c r="CK43" i="2"/>
  <c r="CS43" i="2" s="1"/>
  <c r="CT43" i="2" s="1"/>
  <c r="CU43" i="2" s="1"/>
  <c r="J12" i="16"/>
  <c r="B39" i="26"/>
  <c r="CW24" i="16"/>
  <c r="CX24" i="16" s="1"/>
  <c r="CY24" i="16" s="1"/>
  <c r="CW26" i="16"/>
  <c r="CX26" i="16" s="1"/>
  <c r="CY26" i="16" s="1"/>
  <c r="CW27" i="16"/>
  <c r="CX27" i="16" s="1"/>
  <c r="CY27" i="16" s="1"/>
  <c r="CM51" i="16"/>
  <c r="CW51" i="16" s="1"/>
  <c r="CX51" i="16" s="1"/>
  <c r="CY51" i="16" s="1"/>
  <c r="CM32" i="16"/>
  <c r="CW32" i="16" s="1"/>
  <c r="CX32" i="16" s="1"/>
  <c r="CY32" i="16" s="1"/>
  <c r="CW35" i="16"/>
  <c r="CX35" i="16" s="1"/>
  <c r="CY35" i="16" s="1"/>
  <c r="CW43" i="16"/>
  <c r="CX43" i="16" s="1"/>
  <c r="CY43" i="16" s="1"/>
  <c r="CW7" i="16"/>
  <c r="CX7" i="16" s="1"/>
  <c r="CY7" i="16" s="1"/>
  <c r="CW47" i="16"/>
  <c r="CX47" i="16" s="1"/>
  <c r="CY47" i="16" s="1"/>
  <c r="CW44" i="16"/>
  <c r="CX44" i="16" s="1"/>
  <c r="CY44" i="16" s="1"/>
  <c r="CW23" i="16"/>
  <c r="CX23" i="16" s="1"/>
  <c r="CY23" i="16" s="1"/>
  <c r="CW52" i="16"/>
  <c r="CX52" i="16" s="1"/>
  <c r="CY52" i="16" s="1"/>
  <c r="CW39" i="16"/>
  <c r="CX39" i="16" s="1"/>
  <c r="CY39" i="16" s="1"/>
  <c r="CW36" i="16"/>
  <c r="CX36" i="16" s="1"/>
  <c r="CY36" i="16" s="1"/>
  <c r="CM34" i="16"/>
  <c r="CW34" i="16" s="1"/>
  <c r="CX34" i="16" s="1"/>
  <c r="CY34" i="16" s="1"/>
  <c r="CM6" i="16"/>
  <c r="CW6" i="16" s="1"/>
  <c r="CX6" i="16" s="1"/>
  <c r="CY6" i="16" s="1"/>
  <c r="CM46" i="16"/>
  <c r="CW46" i="16" s="1"/>
  <c r="CX46" i="16" s="1"/>
  <c r="CY46" i="16" s="1"/>
  <c r="CM17" i="16"/>
  <c r="CW17" i="16" s="1"/>
  <c r="CX17" i="16" s="1"/>
  <c r="CY17" i="16" s="1"/>
  <c r="CM54" i="16"/>
  <c r="CW54" i="16" s="1"/>
  <c r="CX54" i="16" s="1"/>
  <c r="CY54" i="16" s="1"/>
  <c r="CM13" i="16"/>
  <c r="CW13" i="16" s="1"/>
  <c r="CX13" i="16" s="1"/>
  <c r="CY13" i="16" s="1"/>
  <c r="CM31" i="16"/>
  <c r="CW31" i="16" s="1"/>
  <c r="CX31" i="16" s="1"/>
  <c r="CY31" i="16" s="1"/>
  <c r="CM40" i="16"/>
  <c r="CW40" i="16" s="1"/>
  <c r="CX40" i="16" s="1"/>
  <c r="CY40" i="16" s="1"/>
  <c r="CM53" i="16"/>
  <c r="CW53" i="16" s="1"/>
  <c r="CX53" i="16" s="1"/>
  <c r="CY53" i="16" s="1"/>
  <c r="CM22" i="16"/>
  <c r="CW22" i="16" s="1"/>
  <c r="CX22" i="16" s="1"/>
  <c r="CY22" i="16" s="1"/>
  <c r="CM28" i="16"/>
  <c r="CW28" i="16" s="1"/>
  <c r="CX28" i="16" s="1"/>
  <c r="CY28" i="16" s="1"/>
  <c r="CM38" i="16"/>
  <c r="CW38" i="16" s="1"/>
  <c r="CX38" i="16" s="1"/>
  <c r="CY38" i="16" s="1"/>
  <c r="CM20" i="16"/>
  <c r="CW20" i="16" s="1"/>
  <c r="CX20" i="16" s="1"/>
  <c r="CY20" i="16" s="1"/>
  <c r="CM9" i="16"/>
  <c r="CW9" i="16" s="1"/>
  <c r="CX9" i="16" s="1"/>
  <c r="CY9" i="16" s="1"/>
  <c r="CM19" i="16"/>
  <c r="CW19" i="16" s="1"/>
  <c r="CX19" i="16" s="1"/>
  <c r="CY19" i="16" s="1"/>
  <c r="CM10" i="16"/>
  <c r="CW10" i="16" s="1"/>
  <c r="CX10" i="16" s="1"/>
  <c r="CY10" i="16" s="1"/>
  <c r="CM11" i="16"/>
  <c r="CW11" i="16" s="1"/>
  <c r="CX11" i="16" s="1"/>
  <c r="CY11" i="16" s="1"/>
  <c r="CM25" i="16"/>
  <c r="CW25" i="16" s="1"/>
  <c r="CX25" i="16" s="1"/>
  <c r="CY25" i="16" s="1"/>
  <c r="CM15" i="16"/>
  <c r="CW15" i="16" s="1"/>
  <c r="CX15" i="16" s="1"/>
  <c r="CY15" i="16" s="1"/>
  <c r="CM42" i="16"/>
  <c r="CW42" i="16" s="1"/>
  <c r="CX42" i="16" s="1"/>
  <c r="CY42" i="16" s="1"/>
  <c r="CM8" i="16"/>
  <c r="CW8" i="16" s="1"/>
  <c r="CX8" i="16" s="1"/>
  <c r="CY8" i="16" s="1"/>
  <c r="CM45" i="16"/>
  <c r="CW45" i="16" s="1"/>
  <c r="CX45" i="16" s="1"/>
  <c r="CY45" i="16" s="1"/>
  <c r="CM16" i="16"/>
  <c r="CW16" i="16" s="1"/>
  <c r="CX16" i="16" s="1"/>
  <c r="CY16" i="16" s="1"/>
  <c r="CM50" i="16"/>
  <c r="CW50" i="16" s="1"/>
  <c r="CX50" i="16" s="1"/>
  <c r="CY50" i="16" s="1"/>
  <c r="CM48" i="16"/>
  <c r="CW48" i="16" s="1"/>
  <c r="CX48" i="16" s="1"/>
  <c r="CY48" i="16" s="1"/>
  <c r="CM41" i="16"/>
  <c r="CW41" i="16" s="1"/>
  <c r="CX41" i="16" s="1"/>
  <c r="CY41" i="16" s="1"/>
  <c r="CM37" i="16"/>
  <c r="CW37" i="16" s="1"/>
  <c r="CX37" i="16" s="1"/>
  <c r="CY37" i="16" s="1"/>
  <c r="CM30" i="16"/>
  <c r="CW30" i="16" s="1"/>
  <c r="CX30" i="16" s="1"/>
  <c r="CY30" i="16" s="1"/>
  <c r="CM49" i="16"/>
  <c r="CW49" i="16" s="1"/>
  <c r="CX49" i="16" s="1"/>
  <c r="CY49" i="16" s="1"/>
  <c r="CM14" i="16"/>
  <c r="CW14" i="16" s="1"/>
  <c r="CX14" i="16" s="1"/>
  <c r="CY14" i="16" s="1"/>
  <c r="CM12" i="16"/>
  <c r="CW12" i="16" s="1"/>
  <c r="CX12" i="16" s="1"/>
  <c r="CY12" i="16" s="1"/>
  <c r="CM18" i="16"/>
  <c r="CW18" i="16" s="1"/>
  <c r="CX18" i="16" s="1"/>
  <c r="CY18" i="16" s="1"/>
  <c r="CM33" i="16"/>
  <c r="CW33" i="16" s="1"/>
  <c r="CX33" i="16" s="1"/>
  <c r="CY33" i="16" s="1"/>
  <c r="CM5" i="16"/>
  <c r="CW5" i="16" s="1"/>
  <c r="CX5" i="16" s="1"/>
  <c r="CY5" i="16" s="1"/>
  <c r="CM4" i="16"/>
  <c r="CW4" i="16" s="1"/>
  <c r="CX4" i="16" s="1"/>
  <c r="CY4" i="16" s="1"/>
  <c r="B29" i="25"/>
  <c r="W4" i="8"/>
  <c r="B31" i="25"/>
  <c r="B28" i="22"/>
  <c r="W4" i="2"/>
  <c r="B30" i="22"/>
  <c r="BP29" i="8"/>
  <c r="BP4" i="8"/>
  <c r="BP51" i="8"/>
  <c r="BP23" i="8"/>
  <c r="BP16" i="8"/>
  <c r="BP32" i="8"/>
  <c r="BP18" i="8"/>
  <c r="BP33" i="8"/>
  <c r="BP14" i="8"/>
  <c r="BP31" i="8"/>
  <c r="BP48" i="8"/>
  <c r="BP20" i="8"/>
  <c r="BP36" i="8"/>
  <c r="BP28" i="8"/>
  <c r="BP42" i="8"/>
  <c r="BP50" i="8"/>
  <c r="BP27" i="8"/>
  <c r="BP47" i="8"/>
  <c r="BP19" i="8"/>
  <c r="BP49" i="8"/>
  <c r="BP30" i="8"/>
  <c r="BP22" i="8"/>
  <c r="BP8" i="8"/>
  <c r="BP40" i="8"/>
  <c r="BP7" i="8"/>
  <c r="BP6" i="8"/>
  <c r="BP45" i="8"/>
  <c r="BP39" i="8"/>
  <c r="BP17" i="8"/>
  <c r="BP25" i="8"/>
  <c r="BP26" i="8"/>
  <c r="BP53" i="8"/>
  <c r="BP12" i="8"/>
  <c r="BP11" i="8"/>
  <c r="BP21" i="8"/>
  <c r="BP38" i="8"/>
  <c r="BP15" i="8"/>
  <c r="BP44" i="8"/>
  <c r="BP46" i="8"/>
  <c r="BP43" i="8"/>
  <c r="BP9" i="8"/>
  <c r="BP10" i="8"/>
  <c r="BP52" i="8"/>
  <c r="BP5" i="8"/>
  <c r="BP54" i="8"/>
  <c r="BP24" i="8"/>
  <c r="BP41" i="8"/>
  <c r="BP13" i="8"/>
  <c r="BP37" i="8"/>
  <c r="BP34" i="8"/>
  <c r="T22" i="16"/>
  <c r="B133" i="3"/>
  <c r="B66" i="16"/>
  <c r="B79" i="26" s="1"/>
  <c r="R29" i="16"/>
  <c r="R23" i="16"/>
  <c r="R19" i="16"/>
  <c r="R47" i="16"/>
  <c r="R24" i="16"/>
  <c r="R20" i="16"/>
  <c r="T34" i="16"/>
  <c r="R39" i="16"/>
  <c r="R15" i="16"/>
  <c r="T10" i="16"/>
  <c r="R18" i="16"/>
  <c r="R52" i="16"/>
  <c r="T54" i="16"/>
  <c r="T30" i="16"/>
  <c r="R28" i="16"/>
  <c r="T25" i="16"/>
  <c r="BH36" i="9"/>
  <c r="R27" i="16"/>
  <c r="U4" i="2"/>
  <c r="T32" i="16"/>
  <c r="R12" i="16"/>
  <c r="R33" i="16"/>
  <c r="R5" i="16"/>
  <c r="R21" i="16"/>
  <c r="BH44" i="9"/>
  <c r="T31" i="16"/>
  <c r="BH19" i="9"/>
  <c r="R7" i="16"/>
  <c r="BH9" i="9"/>
  <c r="T44" i="16"/>
  <c r="R17" i="16"/>
  <c r="T14" i="16"/>
  <c r="R36" i="16"/>
  <c r="R26" i="16"/>
  <c r="T6" i="16"/>
  <c r="R43" i="16"/>
  <c r="R11" i="16"/>
  <c r="T35" i="16"/>
  <c r="R35" i="16"/>
  <c r="R40" i="16"/>
  <c r="T45" i="16"/>
  <c r="BH35" i="9"/>
  <c r="BH38" i="9"/>
  <c r="BH28" i="9"/>
  <c r="BH42" i="9"/>
  <c r="BH14" i="9"/>
  <c r="BH16" i="9"/>
  <c r="BH6" i="9"/>
  <c r="BH45" i="9"/>
  <c r="BH52" i="9"/>
  <c r="BH41" i="9"/>
  <c r="BH12" i="9"/>
  <c r="BH53" i="9"/>
  <c r="BH33" i="9"/>
  <c r="BH18" i="9"/>
  <c r="BH15" i="9"/>
  <c r="BH21" i="9"/>
  <c r="BH51" i="9"/>
  <c r="BH39" i="9"/>
  <c r="BH10" i="9"/>
  <c r="BH7" i="9"/>
  <c r="BH17" i="9"/>
  <c r="BH47" i="9"/>
  <c r="BH48" i="9"/>
  <c r="BH43" i="9"/>
  <c r="BH11" i="9"/>
  <c r="BH40" i="9"/>
  <c r="BH8" i="9"/>
  <c r="BH13" i="9"/>
  <c r="BH27" i="9"/>
  <c r="BH4" i="9"/>
  <c r="BH46" i="9"/>
  <c r="BH49" i="9"/>
  <c r="BH32" i="9"/>
  <c r="BH37" i="9"/>
  <c r="BH5" i="9"/>
  <c r="BH54" i="9"/>
  <c r="BH34" i="9"/>
  <c r="BH30" i="9"/>
  <c r="BH31" i="9"/>
  <c r="BH24" i="9"/>
  <c r="BH29" i="9"/>
  <c r="M114" i="3"/>
  <c r="BI7" i="9" s="1"/>
  <c r="BH50" i="9"/>
  <c r="BH26" i="9"/>
  <c r="BH22" i="9"/>
  <c r="BH23" i="9"/>
  <c r="BH20" i="9"/>
  <c r="U24" i="2"/>
  <c r="U34" i="2"/>
  <c r="W24" i="2"/>
  <c r="U26" i="8"/>
  <c r="U46" i="2"/>
  <c r="U54" i="2"/>
  <c r="U8" i="8"/>
  <c r="W41" i="8"/>
  <c r="U54" i="8"/>
  <c r="W36" i="8"/>
  <c r="U42" i="8"/>
  <c r="V21" i="9"/>
  <c r="X4" i="16"/>
  <c r="R4" i="16"/>
  <c r="U20" i="8"/>
  <c r="U37" i="8"/>
  <c r="U51" i="8"/>
  <c r="U30" i="8"/>
  <c r="U33" i="2"/>
  <c r="U36" i="8"/>
  <c r="U41" i="2"/>
  <c r="U42" i="2"/>
  <c r="W48" i="8"/>
  <c r="W37" i="8"/>
  <c r="U41" i="8"/>
  <c r="U35" i="8"/>
  <c r="W16" i="8"/>
  <c r="U19" i="2"/>
  <c r="W54" i="2"/>
  <c r="U31" i="8"/>
  <c r="U47" i="8"/>
  <c r="U45" i="2"/>
  <c r="U39" i="8"/>
  <c r="U15" i="2"/>
  <c r="W25" i="8"/>
  <c r="U39" i="2"/>
  <c r="U24" i="8"/>
  <c r="U10" i="2"/>
  <c r="U18" i="8"/>
  <c r="U16" i="8"/>
  <c r="U25" i="8"/>
  <c r="U46" i="8"/>
  <c r="U28" i="8"/>
  <c r="U29" i="8"/>
  <c r="U35" i="2"/>
  <c r="AE18" i="8"/>
  <c r="U33" i="8"/>
  <c r="U27" i="8"/>
  <c r="U22" i="8"/>
  <c r="U37" i="2"/>
  <c r="U21" i="2"/>
  <c r="U7" i="2"/>
  <c r="W19" i="8"/>
  <c r="W23" i="8"/>
  <c r="U15" i="8"/>
  <c r="U12" i="2"/>
  <c r="U48" i="8"/>
  <c r="W10" i="8"/>
  <c r="U14" i="8"/>
  <c r="U21" i="8"/>
  <c r="U50" i="2"/>
  <c r="AE26" i="8"/>
  <c r="W13" i="8"/>
  <c r="U53" i="2"/>
  <c r="U34" i="8"/>
  <c r="U11" i="2"/>
  <c r="U18" i="2"/>
  <c r="W22" i="8"/>
  <c r="W15" i="8"/>
  <c r="U43" i="2"/>
  <c r="W32" i="8"/>
  <c r="U48" i="2"/>
  <c r="U51" i="2"/>
  <c r="AE34" i="8"/>
  <c r="W53" i="8"/>
  <c r="W28" i="8"/>
  <c r="U52" i="2"/>
  <c r="U17" i="2"/>
  <c r="W39" i="2"/>
  <c r="U29" i="2"/>
  <c r="U44" i="2"/>
  <c r="U32" i="8"/>
  <c r="W43" i="8"/>
  <c r="W50" i="8"/>
  <c r="U13" i="2"/>
  <c r="U9" i="2"/>
  <c r="U47" i="2"/>
  <c r="U6" i="8"/>
  <c r="W46" i="8"/>
  <c r="U14" i="2"/>
  <c r="B26" i="8"/>
  <c r="F60" i="3" s="1"/>
  <c r="U8" i="2"/>
  <c r="W38" i="8"/>
  <c r="B27" i="2"/>
  <c r="B25" i="3" s="1"/>
  <c r="U30" i="2"/>
  <c r="U4" i="8"/>
  <c r="U22" i="2"/>
  <c r="U5" i="8"/>
  <c r="U12" i="8"/>
  <c r="W12" i="8"/>
  <c r="W17" i="8"/>
  <c r="U49" i="2"/>
  <c r="U10" i="8"/>
  <c r="AE53" i="8"/>
  <c r="U6" i="2"/>
  <c r="U36" i="2"/>
  <c r="U38" i="2"/>
  <c r="AE52" i="8"/>
  <c r="U44" i="8"/>
  <c r="U19" i="8"/>
  <c r="AE16" i="2"/>
  <c r="U16" i="2"/>
  <c r="U26" i="2"/>
  <c r="AA32" i="2"/>
  <c r="U32" i="2"/>
  <c r="U23" i="2"/>
  <c r="U40" i="8"/>
  <c r="W40" i="8"/>
  <c r="U52" i="8"/>
  <c r="W11" i="8"/>
  <c r="U53" i="8"/>
  <c r="BP24" i="2"/>
  <c r="BP26" i="2"/>
  <c r="BP53" i="2"/>
  <c r="BP21" i="2"/>
  <c r="BP13" i="2"/>
  <c r="BP41" i="2"/>
  <c r="BP44" i="2"/>
  <c r="BP37" i="2"/>
  <c r="BP20" i="2"/>
  <c r="BP43" i="2"/>
  <c r="BP29" i="2"/>
  <c r="BP51" i="2"/>
  <c r="BP49" i="2"/>
  <c r="BP14" i="2"/>
  <c r="BP12" i="2"/>
  <c r="BP22" i="2"/>
  <c r="BP10" i="2"/>
  <c r="BP33" i="2"/>
  <c r="BP25" i="2"/>
  <c r="BP35" i="2"/>
  <c r="BP28" i="2"/>
  <c r="BP15" i="2"/>
  <c r="BP31" i="2"/>
  <c r="BP47" i="2"/>
  <c r="BP23" i="2"/>
  <c r="BP16" i="2"/>
  <c r="BP32" i="2"/>
  <c r="BP17" i="2"/>
  <c r="BP5" i="2"/>
  <c r="BP40" i="2"/>
  <c r="BP52" i="2"/>
  <c r="BP46" i="2"/>
  <c r="BP38" i="2"/>
  <c r="BP42" i="2"/>
  <c r="BP30" i="2"/>
  <c r="BP6" i="2"/>
  <c r="BP9" i="2"/>
  <c r="BP19" i="2"/>
  <c r="BP36" i="2"/>
  <c r="BP54" i="2"/>
  <c r="BP27" i="2"/>
  <c r="BP18" i="2"/>
  <c r="BP7" i="2"/>
  <c r="BP34" i="2"/>
  <c r="BP4" i="2"/>
  <c r="BP50" i="2"/>
  <c r="BP39" i="2"/>
  <c r="BP8" i="2"/>
  <c r="BP45" i="2"/>
  <c r="BP11" i="2"/>
  <c r="BP48" i="2"/>
  <c r="U27" i="2"/>
  <c r="U17" i="8"/>
  <c r="W44" i="8"/>
  <c r="U38" i="8"/>
  <c r="AE54" i="8"/>
  <c r="U11" i="8"/>
  <c r="W29" i="8"/>
  <c r="U45" i="8"/>
  <c r="W45" i="8"/>
  <c r="U5" i="2"/>
  <c r="U23" i="8"/>
  <c r="U43" i="8"/>
  <c r="U9" i="8"/>
  <c r="U13" i="8"/>
  <c r="U25" i="2"/>
  <c r="BR32" i="2"/>
  <c r="BR53" i="2"/>
  <c r="BR15" i="2"/>
  <c r="BR4" i="2"/>
  <c r="BR18" i="2"/>
  <c r="BR22" i="2"/>
  <c r="BR49" i="2"/>
  <c r="BR39" i="2"/>
  <c r="BR23" i="2"/>
  <c r="BR19" i="2"/>
  <c r="BR34" i="2"/>
  <c r="BR47" i="2"/>
  <c r="BR21" i="2"/>
  <c r="BR36" i="2"/>
  <c r="BR46" i="2"/>
  <c r="BR30" i="2"/>
  <c r="BR10" i="2"/>
  <c r="BR38" i="2"/>
  <c r="BR7" i="2"/>
  <c r="BR13" i="2"/>
  <c r="BR44" i="2"/>
  <c r="BR33" i="2"/>
  <c r="BR26" i="2"/>
  <c r="BR6" i="2"/>
  <c r="BR43" i="2"/>
  <c r="BR28" i="2"/>
  <c r="BR8" i="2"/>
  <c r="BR40" i="2"/>
  <c r="BR35" i="2"/>
  <c r="BR48" i="2"/>
  <c r="BR50" i="2"/>
  <c r="BR24" i="2"/>
  <c r="BR29" i="2"/>
  <c r="BR42" i="2"/>
  <c r="BR25" i="2"/>
  <c r="BR9" i="2"/>
  <c r="BR54" i="2"/>
  <c r="BR51" i="2"/>
  <c r="BR41" i="2"/>
  <c r="BR45" i="2"/>
  <c r="BR31" i="2"/>
  <c r="BR5" i="2"/>
  <c r="BR16" i="2"/>
  <c r="BR37" i="2"/>
  <c r="BR12" i="2"/>
  <c r="BR52" i="2"/>
  <c r="BR27" i="2"/>
  <c r="BR14" i="2"/>
  <c r="BR20" i="2"/>
  <c r="BR17" i="2"/>
  <c r="BR11" i="2"/>
  <c r="BN40" i="2"/>
  <c r="BN50" i="2"/>
  <c r="BN11" i="2"/>
  <c r="BN44" i="2"/>
  <c r="BN47" i="2"/>
  <c r="BN22" i="2"/>
  <c r="BN41" i="2"/>
  <c r="BN14" i="2"/>
  <c r="BN24" i="2"/>
  <c r="BN31" i="2"/>
  <c r="BN16" i="2"/>
  <c r="BN52" i="2"/>
  <c r="BN33" i="2"/>
  <c r="BN51" i="2"/>
  <c r="BN5" i="2"/>
  <c r="BN49" i="2"/>
  <c r="BN38" i="2"/>
  <c r="BN23" i="2"/>
  <c r="BN39" i="2"/>
  <c r="BN36" i="2"/>
  <c r="BN25" i="2"/>
  <c r="BN26" i="2"/>
  <c r="BN4" i="2"/>
  <c r="BN7" i="2"/>
  <c r="BN48" i="2"/>
  <c r="BN37" i="2"/>
  <c r="BN54" i="2"/>
  <c r="BN9" i="2"/>
  <c r="BN27" i="2"/>
  <c r="BN42" i="2"/>
  <c r="BN32" i="2"/>
  <c r="BN21" i="2"/>
  <c r="BN34" i="2"/>
  <c r="BN46" i="2"/>
  <c r="BN20" i="2"/>
  <c r="BN15" i="2"/>
  <c r="BN17" i="2"/>
  <c r="BN29" i="2"/>
  <c r="BN8" i="2"/>
  <c r="BN19" i="2"/>
  <c r="BN28" i="2"/>
  <c r="BN45" i="2"/>
  <c r="BN13" i="2"/>
  <c r="BN53" i="2"/>
  <c r="BN12" i="2"/>
  <c r="BN43" i="2"/>
  <c r="BN6" i="2"/>
  <c r="BN10" i="2"/>
  <c r="BN30" i="2"/>
  <c r="BN18" i="2"/>
  <c r="BN35" i="2"/>
  <c r="BL45" i="2"/>
  <c r="BL20" i="2"/>
  <c r="BL37" i="2"/>
  <c r="BL22" i="2"/>
  <c r="BL10" i="2"/>
  <c r="BL42" i="2"/>
  <c r="BL54" i="2"/>
  <c r="BL27" i="2"/>
  <c r="BL6" i="2"/>
  <c r="BL24" i="2"/>
  <c r="BL25" i="2"/>
  <c r="BL50" i="2"/>
  <c r="BL18" i="2"/>
  <c r="BL11" i="2"/>
  <c r="BL32" i="2"/>
  <c r="BL16" i="2"/>
  <c r="BL34" i="2"/>
  <c r="BL48" i="2"/>
  <c r="BL51" i="2"/>
  <c r="BL9" i="2"/>
  <c r="BL7" i="2"/>
  <c r="BL30" i="2"/>
  <c r="BL4" i="2"/>
  <c r="BL46" i="2"/>
  <c r="BL43" i="2"/>
  <c r="BL49" i="2"/>
  <c r="BL31" i="2"/>
  <c r="BL17" i="2"/>
  <c r="BL14" i="2"/>
  <c r="BL38" i="2"/>
  <c r="BL47" i="2"/>
  <c r="BL15" i="2"/>
  <c r="BL21" i="2"/>
  <c r="BL12" i="2"/>
  <c r="BL5" i="2"/>
  <c r="BL53" i="2"/>
  <c r="BL13" i="2"/>
  <c r="BL39" i="2"/>
  <c r="BL40" i="2"/>
  <c r="BL41" i="2"/>
  <c r="BL36" i="2"/>
  <c r="BL23" i="2"/>
  <c r="BL52" i="2"/>
  <c r="BL29" i="2"/>
  <c r="BL44" i="2"/>
  <c r="BL8" i="2"/>
  <c r="BL26" i="2"/>
  <c r="BL33" i="2"/>
  <c r="BL19" i="2"/>
  <c r="BL28" i="2"/>
  <c r="BL35" i="2"/>
  <c r="U7" i="8"/>
  <c r="W7" i="8"/>
  <c r="U28" i="2"/>
  <c r="W18" i="8"/>
  <c r="W30" i="8"/>
  <c r="W14" i="8"/>
  <c r="B28" i="8"/>
  <c r="U50" i="8"/>
  <c r="AE21" i="8"/>
  <c r="U31" i="2"/>
  <c r="B29" i="2"/>
  <c r="W40" i="2"/>
  <c r="W42" i="8"/>
  <c r="W54" i="8"/>
  <c r="U20" i="2"/>
  <c r="W51" i="8"/>
  <c r="U49" i="8"/>
  <c r="W49" i="8"/>
  <c r="W39" i="8"/>
  <c r="BE5" i="9"/>
  <c r="BE9" i="9"/>
  <c r="BE13" i="9"/>
  <c r="BE17" i="9"/>
  <c r="BE21" i="9"/>
  <c r="BE25" i="9"/>
  <c r="BE29" i="9"/>
  <c r="BE33" i="9"/>
  <c r="BE37" i="9"/>
  <c r="BE41" i="9"/>
  <c r="BE45" i="9"/>
  <c r="BE49" i="9"/>
  <c r="BE8" i="9"/>
  <c r="BE12" i="9"/>
  <c r="BE16" i="9"/>
  <c r="BE20" i="9"/>
  <c r="BE24" i="9"/>
  <c r="BE28" i="9"/>
  <c r="BE32" i="9"/>
  <c r="BE36" i="9"/>
  <c r="BE40" i="9"/>
  <c r="BE44" i="9"/>
  <c r="BE48" i="9"/>
  <c r="BE52" i="9"/>
  <c r="BE54" i="9"/>
  <c r="BE18" i="9"/>
  <c r="BE26" i="9"/>
  <c r="BE47" i="9"/>
  <c r="BE50" i="9"/>
  <c r="BE51" i="9"/>
  <c r="BE11" i="9"/>
  <c r="BE19" i="9"/>
  <c r="BE27" i="9"/>
  <c r="BE35" i="9"/>
  <c r="BE53" i="9"/>
  <c r="BE42" i="9"/>
  <c r="BE7" i="9"/>
  <c r="BE15" i="9"/>
  <c r="BE23" i="9"/>
  <c r="BE31" i="9"/>
  <c r="BE39" i="9"/>
  <c r="BE6" i="9"/>
  <c r="BE14" i="9"/>
  <c r="BE22" i="9"/>
  <c r="BE30" i="9"/>
  <c r="BE38" i="9"/>
  <c r="BE43" i="9"/>
  <c r="BE46" i="9"/>
  <c r="BE10" i="9"/>
  <c r="BE34" i="9"/>
  <c r="BC8" i="9"/>
  <c r="BC12" i="9"/>
  <c r="BC16" i="9"/>
  <c r="BC20" i="9"/>
  <c r="BC24" i="9"/>
  <c r="BC28" i="9"/>
  <c r="BC32" i="9"/>
  <c r="BC36" i="9"/>
  <c r="BC40" i="9"/>
  <c r="BC44" i="9"/>
  <c r="BC48" i="9"/>
  <c r="BC52" i="9"/>
  <c r="BC7" i="9"/>
  <c r="BC11" i="9"/>
  <c r="BC15" i="9"/>
  <c r="BC19" i="9"/>
  <c r="BC23" i="9"/>
  <c r="BC27" i="9"/>
  <c r="BC31" i="9"/>
  <c r="BC35" i="9"/>
  <c r="BC39" i="9"/>
  <c r="BC43" i="9"/>
  <c r="BC47" i="9"/>
  <c r="BC51" i="9"/>
  <c r="BC53" i="9"/>
  <c r="BC25" i="9"/>
  <c r="BC10" i="9"/>
  <c r="BC18" i="9"/>
  <c r="BC26" i="9"/>
  <c r="BC34" i="9"/>
  <c r="BC9" i="9"/>
  <c r="BC17" i="9"/>
  <c r="BC33" i="9"/>
  <c r="BC42" i="9"/>
  <c r="BC45" i="9"/>
  <c r="BC46" i="9"/>
  <c r="BC49" i="9"/>
  <c r="BC6" i="9"/>
  <c r="BC14" i="9"/>
  <c r="BC22" i="9"/>
  <c r="BC30" i="9"/>
  <c r="BC38" i="9"/>
  <c r="BC54" i="9"/>
  <c r="BC5" i="9"/>
  <c r="BC13" i="9"/>
  <c r="BC21" i="9"/>
  <c r="BC29" i="9"/>
  <c r="BC37" i="9"/>
  <c r="BC50" i="9"/>
  <c r="BC41" i="9"/>
  <c r="BG6" i="9"/>
  <c r="BG10" i="9"/>
  <c r="BG14" i="9"/>
  <c r="BG18" i="9"/>
  <c r="BG22" i="9"/>
  <c r="BG26" i="9"/>
  <c r="BG30" i="9"/>
  <c r="BG34" i="9"/>
  <c r="BG38" i="9"/>
  <c r="BG42" i="9"/>
  <c r="BG46" i="9"/>
  <c r="BG50" i="9"/>
  <c r="BG5" i="9"/>
  <c r="BG9" i="9"/>
  <c r="BG13" i="9"/>
  <c r="BG17" i="9"/>
  <c r="BG21" i="9"/>
  <c r="BG25" i="9"/>
  <c r="BG29" i="9"/>
  <c r="BG33" i="9"/>
  <c r="BG37" i="9"/>
  <c r="BG41" i="9"/>
  <c r="BG45" i="9"/>
  <c r="BG49" i="9"/>
  <c r="BG35" i="9"/>
  <c r="BG44" i="9"/>
  <c r="BG47" i="9"/>
  <c r="BG43" i="9"/>
  <c r="BG12" i="9"/>
  <c r="BG20" i="9"/>
  <c r="BG28" i="9"/>
  <c r="BG36" i="9"/>
  <c r="BG54" i="9"/>
  <c r="BG11" i="9"/>
  <c r="BG19" i="9"/>
  <c r="BG48" i="9"/>
  <c r="BG51" i="9"/>
  <c r="BG8" i="9"/>
  <c r="BG16" i="9"/>
  <c r="BG24" i="9"/>
  <c r="BG32" i="9"/>
  <c r="BG40" i="9"/>
  <c r="BG7" i="9"/>
  <c r="BG15" i="9"/>
  <c r="BG23" i="9"/>
  <c r="BG31" i="9"/>
  <c r="BG39" i="9"/>
  <c r="BG52" i="9"/>
  <c r="BG27" i="9"/>
  <c r="BG53" i="9"/>
  <c r="AA40" i="2"/>
  <c r="U40" i="2"/>
  <c r="BE4" i="9"/>
  <c r="BC4" i="9"/>
  <c r="BG4" i="9"/>
  <c r="B135" i="3"/>
  <c r="B29" i="16"/>
  <c r="B33" i="26" s="1"/>
  <c r="B151" i="9" l="1"/>
  <c r="B209" i="23" s="1"/>
  <c r="B138" i="9"/>
  <c r="B187" i="23" s="1"/>
  <c r="CT4" i="9"/>
  <c r="CU4" i="9" s="1"/>
  <c r="CV4" i="9" s="1"/>
  <c r="D128" i="9"/>
  <c r="CX22" i="9"/>
  <c r="V10" i="9"/>
  <c r="V29" i="9"/>
  <c r="CX29" i="9"/>
  <c r="V34" i="9"/>
  <c r="CX11" i="9"/>
  <c r="DX21" i="9"/>
  <c r="V9" i="9"/>
  <c r="CX34" i="9"/>
  <c r="DP45" i="9"/>
  <c r="DR10" i="9"/>
  <c r="DR43" i="9"/>
  <c r="V14" i="9"/>
  <c r="V30" i="9"/>
  <c r="V11" i="9"/>
  <c r="DQ27" i="9"/>
  <c r="DX46" i="9"/>
  <c r="V22" i="9"/>
  <c r="DQ45" i="9"/>
  <c r="CX37" i="9"/>
  <c r="DW10" i="9"/>
  <c r="DX51" i="9"/>
  <c r="CX40" i="9"/>
  <c r="DV42" i="9"/>
  <c r="DP28" i="9"/>
  <c r="DP25" i="9"/>
  <c r="DX57" i="9"/>
  <c r="V40" i="9"/>
  <c r="DQ6" i="9"/>
  <c r="DV31" i="9"/>
  <c r="DR47" i="9"/>
  <c r="CX23" i="9"/>
  <c r="DW15" i="9"/>
  <c r="DS37" i="9"/>
  <c r="DX18" i="9"/>
  <c r="DV56" i="9"/>
  <c r="DX9" i="9"/>
  <c r="DQ22" i="9"/>
  <c r="DV54" i="9"/>
  <c r="V18" i="9"/>
  <c r="CX10" i="9"/>
  <c r="DQ23" i="9"/>
  <c r="DR31" i="9"/>
  <c r="CX35" i="9"/>
  <c r="DO8" i="9"/>
  <c r="DW51" i="9"/>
  <c r="DP44" i="9"/>
  <c r="DX12" i="9"/>
  <c r="DV59" i="9"/>
  <c r="DV51" i="9"/>
  <c r="CX33" i="9"/>
  <c r="DW9" i="9"/>
  <c r="DQ38" i="9"/>
  <c r="DS9" i="9"/>
  <c r="DQ32" i="9"/>
  <c r="DV27" i="9"/>
  <c r="DV34" i="9"/>
  <c r="V12" i="9"/>
  <c r="DQ40" i="9"/>
  <c r="DQ42" i="9"/>
  <c r="DW59" i="9"/>
  <c r="DX56" i="9"/>
  <c r="DP52" i="9"/>
  <c r="CX8" i="9"/>
  <c r="DV41" i="9"/>
  <c r="DP6" i="9"/>
  <c r="DP22" i="9"/>
  <c r="DV43" i="9"/>
  <c r="CX30" i="9"/>
  <c r="DU22" i="9"/>
  <c r="DW56" i="9"/>
  <c r="DP8" i="9"/>
  <c r="DR7" i="9"/>
  <c r="V32" i="9"/>
  <c r="DX30" i="9"/>
  <c r="DW39" i="9"/>
  <c r="DX52" i="9"/>
  <c r="DV32" i="9"/>
  <c r="DX29" i="9"/>
  <c r="V13" i="9"/>
  <c r="CX5" i="9"/>
  <c r="CX32" i="9"/>
  <c r="V46" i="9"/>
  <c r="V35" i="9"/>
  <c r="CX44" i="9"/>
  <c r="CX21" i="9"/>
  <c r="CX14" i="9"/>
  <c r="CX47" i="9"/>
  <c r="CX38" i="9"/>
  <c r="CX45" i="9"/>
  <c r="CX9" i="9"/>
  <c r="V50" i="9"/>
  <c r="V16" i="9"/>
  <c r="V33" i="9"/>
  <c r="DP10" i="9"/>
  <c r="V8" i="9"/>
  <c r="DO12" i="9"/>
  <c r="DX16" i="9"/>
  <c r="DP53" i="9"/>
  <c r="DR20" i="9"/>
  <c r="V5" i="9"/>
  <c r="CX24" i="9"/>
  <c r="DV9" i="9"/>
  <c r="DP4" i="9"/>
  <c r="CX36" i="9"/>
  <c r="DS55" i="9"/>
  <c r="DO24" i="9"/>
  <c r="DW4" i="9"/>
  <c r="DP14" i="9"/>
  <c r="DX5" i="9"/>
  <c r="DX28" i="9"/>
  <c r="DW46" i="9"/>
  <c r="DW19" i="9"/>
  <c r="DO25" i="9"/>
  <c r="DW54" i="9"/>
  <c r="DQ20" i="9"/>
  <c r="DR14" i="9"/>
  <c r="DP11" i="9"/>
  <c r="DR22" i="9"/>
  <c r="V7" i="9"/>
  <c r="V26" i="9"/>
  <c r="DW47" i="9"/>
  <c r="DQ5" i="9"/>
  <c r="DQ35" i="9"/>
  <c r="DW33" i="9"/>
  <c r="DO38" i="9"/>
  <c r="DR35" i="9"/>
  <c r="DP18" i="9"/>
  <c r="DX27" i="9"/>
  <c r="DP21" i="9"/>
  <c r="DV48" i="9"/>
  <c r="DR48" i="9"/>
  <c r="DP49" i="9"/>
  <c r="DR41" i="9"/>
  <c r="DP58" i="9"/>
  <c r="V49" i="9"/>
  <c r="CX52" i="9"/>
  <c r="V24" i="9"/>
  <c r="V23" i="9"/>
  <c r="CX4" i="9"/>
  <c r="DU6" i="9"/>
  <c r="DQ43" i="9"/>
  <c r="DV20" i="9"/>
  <c r="DP36" i="9"/>
  <c r="DR54" i="9"/>
  <c r="DP29" i="9"/>
  <c r="DP33" i="9"/>
  <c r="DP23" i="9"/>
  <c r="DR32" i="9"/>
  <c r="V47" i="9"/>
  <c r="V4" i="9"/>
  <c r="CX50" i="9"/>
  <c r="DM51" i="9"/>
  <c r="DW53" i="9"/>
  <c r="DW25" i="9"/>
  <c r="DQ13" i="9"/>
  <c r="DQ37" i="9"/>
  <c r="DS38" i="9"/>
  <c r="DV50" i="9"/>
  <c r="DX59" i="9"/>
  <c r="DR37" i="9"/>
  <c r="DP37" i="9"/>
  <c r="DX15" i="9"/>
  <c r="DP15" i="9"/>
  <c r="V15" i="9"/>
  <c r="V43" i="9"/>
  <c r="DS52" i="9"/>
  <c r="DR40" i="9"/>
  <c r="DW17" i="9"/>
  <c r="DO48" i="9"/>
  <c r="DP24" i="9"/>
  <c r="DX49" i="9"/>
  <c r="CX12" i="9"/>
  <c r="CX43" i="9"/>
  <c r="DP13" i="9"/>
  <c r="V39" i="9"/>
  <c r="DM43" i="9"/>
  <c r="DS5" i="9"/>
  <c r="DO55" i="9"/>
  <c r="DQ11" i="9"/>
  <c r="DW8" i="9"/>
  <c r="DX17" i="9"/>
  <c r="DX39" i="9"/>
  <c r="DP5" i="9"/>
  <c r="DR8" i="9"/>
  <c r="DP40" i="9"/>
  <c r="DQ16" i="9"/>
  <c r="DO36" i="9"/>
  <c r="DW44" i="9"/>
  <c r="DS32" i="9"/>
  <c r="DP12" i="9"/>
  <c r="DR45" i="9"/>
  <c r="DR19" i="9"/>
  <c r="DP47" i="9"/>
  <c r="DX11" i="9"/>
  <c r="DV7" i="9"/>
  <c r="DV19" i="9"/>
  <c r="CX41" i="9"/>
  <c r="DW50" i="9"/>
  <c r="DU40" i="9"/>
  <c r="DM13" i="9"/>
  <c r="DO37" i="9"/>
  <c r="DR26" i="9"/>
  <c r="DO5" i="9"/>
  <c r="DS29" i="9"/>
  <c r="DR53" i="9"/>
  <c r="DP55" i="9"/>
  <c r="DP35" i="9"/>
  <c r="DX6" i="9"/>
  <c r="V44" i="9"/>
  <c r="DO31" i="9"/>
  <c r="DQ7" i="9"/>
  <c r="DR58" i="9"/>
  <c r="V41" i="9"/>
  <c r="DQ31" i="9"/>
  <c r="DS18" i="9"/>
  <c r="DW30" i="9"/>
  <c r="DW57" i="9"/>
  <c r="DX25" i="9"/>
  <c r="DR4" i="9"/>
  <c r="CX46" i="9"/>
  <c r="CX13" i="9"/>
  <c r="DO42" i="9"/>
  <c r="DM4" i="9"/>
  <c r="DM23" i="9"/>
  <c r="DO51" i="9"/>
  <c r="DR13" i="9"/>
  <c r="CT18" i="9"/>
  <c r="CU18" i="9" s="1"/>
  <c r="CV18" i="9" s="1"/>
  <c r="DQ24" i="9"/>
  <c r="DW29" i="9"/>
  <c r="DM35" i="9"/>
  <c r="DQ26" i="9"/>
  <c r="DM41" i="9"/>
  <c r="DX23" i="9"/>
  <c r="DP16" i="9"/>
  <c r="DX38" i="9"/>
  <c r="DP57" i="9"/>
  <c r="CX39" i="9"/>
  <c r="CX54" i="9"/>
  <c r="CX15" i="9"/>
  <c r="DM31" i="9"/>
  <c r="DM14" i="9"/>
  <c r="DM7" i="9"/>
  <c r="DM17" i="9"/>
  <c r="DM25" i="9"/>
  <c r="DW28" i="9"/>
  <c r="DW49" i="9"/>
  <c r="DX55" i="9"/>
  <c r="DR24" i="9"/>
  <c r="DP26" i="9"/>
  <c r="DR34" i="9"/>
  <c r="DR50" i="9"/>
  <c r="DX42" i="9"/>
  <c r="DV38" i="9"/>
  <c r="DR44" i="9"/>
  <c r="V28" i="9"/>
  <c r="DQ14" i="9"/>
  <c r="DS36" i="9"/>
  <c r="DP39" i="9"/>
  <c r="DR36" i="9"/>
  <c r="DR33" i="9"/>
  <c r="CX17" i="9"/>
  <c r="V17" i="9"/>
  <c r="V45" i="9"/>
  <c r="CX25" i="9"/>
  <c r="DQ58" i="9"/>
  <c r="DS11" i="9"/>
  <c r="DO17" i="9"/>
  <c r="DW52" i="9"/>
  <c r="V51" i="9"/>
  <c r="CX16" i="9"/>
  <c r="CX42" i="9"/>
  <c r="DQ34" i="9"/>
  <c r="DW48" i="9"/>
  <c r="DW12" i="9"/>
  <c r="DM48" i="9"/>
  <c r="DU15" i="9"/>
  <c r="DV46" i="9"/>
  <c r="DQ21" i="9"/>
  <c r="V37" i="9"/>
  <c r="DO52" i="9"/>
  <c r="DO56" i="9"/>
  <c r="V19" i="9"/>
  <c r="CX26" i="9"/>
  <c r="CX31" i="9"/>
  <c r="DQ55" i="9"/>
  <c r="DQ18" i="9"/>
  <c r="DO30" i="9"/>
  <c r="DQ41" i="9"/>
  <c r="DU21" i="9"/>
  <c r="DU44" i="9"/>
  <c r="DU58" i="9"/>
  <c r="DP17" i="9"/>
  <c r="DP30" i="9"/>
  <c r="V42" i="9"/>
  <c r="DS39" i="9"/>
  <c r="DW36" i="9"/>
  <c r="CX28" i="9"/>
  <c r="CX7" i="9"/>
  <c r="DS21" i="9"/>
  <c r="DU50" i="9"/>
  <c r="V20" i="9"/>
  <c r="V25" i="9"/>
  <c r="CX27" i="9"/>
  <c r="DU7" i="9"/>
  <c r="DO14" i="9"/>
  <c r="DS27" i="9"/>
  <c r="DM45" i="9"/>
  <c r="DM47" i="9"/>
  <c r="DU33" i="9"/>
  <c r="DS40" i="9"/>
  <c r="DU59" i="9"/>
  <c r="CT48" i="9"/>
  <c r="CU48" i="9" s="1"/>
  <c r="CV48" i="9" s="1"/>
  <c r="CX51" i="9"/>
  <c r="CX48" i="9"/>
  <c r="CX20" i="9"/>
  <c r="V53" i="9"/>
  <c r="V38" i="9"/>
  <c r="CX19" i="9"/>
  <c r="DO46" i="9"/>
  <c r="DS15" i="9"/>
  <c r="DM33" i="9"/>
  <c r="DU4" i="9"/>
  <c r="DO9" i="9"/>
  <c r="DS58" i="9"/>
  <c r="DO10" i="9"/>
  <c r="DM46" i="9"/>
  <c r="DM24" i="9"/>
  <c r="DS19" i="9"/>
  <c r="DO41" i="9"/>
  <c r="DS54" i="9"/>
  <c r="CX53" i="9"/>
  <c r="DS22" i="9"/>
  <c r="V31" i="9"/>
  <c r="V36" i="9"/>
  <c r="V6" i="9"/>
  <c r="DS50" i="9"/>
  <c r="DS12" i="9"/>
  <c r="DS59" i="9"/>
  <c r="DM6" i="9"/>
  <c r="DS53" i="9"/>
  <c r="DU23" i="9"/>
  <c r="DS34" i="9"/>
  <c r="DM49" i="9"/>
  <c r="DO32" i="9"/>
  <c r="DO27" i="9"/>
  <c r="DO18" i="9"/>
  <c r="V27" i="9"/>
  <c r="DO34" i="9"/>
  <c r="DO45" i="9"/>
  <c r="DO43" i="9"/>
  <c r="DM44" i="9"/>
  <c r="DM16" i="9"/>
  <c r="DO20" i="9"/>
  <c r="V52" i="9"/>
  <c r="V48" i="9"/>
  <c r="DO29" i="9"/>
  <c r="CX49" i="9"/>
  <c r="DU19" i="9"/>
  <c r="DU16" i="9"/>
  <c r="DU13" i="9"/>
  <c r="DU11" i="9"/>
  <c r="V54" i="9"/>
  <c r="CX18" i="9"/>
  <c r="DU35" i="9"/>
  <c r="DU26" i="9"/>
  <c r="DM57" i="9"/>
  <c r="DU49" i="9"/>
  <c r="DS56" i="9"/>
  <c r="B27" i="9"/>
  <c r="B67" i="9" s="1"/>
  <c r="B82" i="23" s="1"/>
  <c r="CX6" i="9"/>
  <c r="DM28" i="9"/>
  <c r="DS26" i="9"/>
  <c r="DM30" i="9"/>
  <c r="DO54" i="9"/>
  <c r="DO53" i="9"/>
  <c r="DM10" i="9"/>
  <c r="DU28" i="9"/>
  <c r="DU47" i="9"/>
  <c r="DO57" i="9"/>
  <c r="DM20" i="9"/>
  <c r="DS42" i="9"/>
  <c r="DO39" i="9"/>
  <c r="DM8" i="9"/>
  <c r="B29" i="9"/>
  <c r="B32" i="23" s="1"/>
  <c r="BI12" i="9"/>
  <c r="BI38" i="9"/>
  <c r="BI6" i="9"/>
  <c r="BI24" i="9"/>
  <c r="BI23" i="9"/>
  <c r="BI8" i="9"/>
  <c r="BI9" i="9"/>
  <c r="BI47" i="9"/>
  <c r="BI36" i="9"/>
  <c r="BI33" i="9"/>
  <c r="BI50" i="9"/>
  <c r="BI35" i="9"/>
  <c r="BI25" i="9"/>
  <c r="BI46" i="9"/>
  <c r="BI31" i="9"/>
  <c r="BI28" i="9"/>
  <c r="BI30" i="9"/>
  <c r="BI15" i="9"/>
  <c r="BI45" i="9"/>
  <c r="BI21" i="9"/>
  <c r="BI18" i="9"/>
  <c r="BI40" i="9"/>
  <c r="BI13" i="9"/>
  <c r="BI14" i="9"/>
  <c r="B63" i="3"/>
  <c r="BI32" i="9"/>
  <c r="BI17" i="9"/>
  <c r="BI5" i="9"/>
  <c r="BI42" i="9"/>
  <c r="BI10" i="9"/>
  <c r="BI27" i="9"/>
  <c r="BI16" i="9"/>
  <c r="BI44" i="9"/>
  <c r="BI20" i="9"/>
  <c r="BI34" i="9"/>
  <c r="BI51" i="9"/>
  <c r="BI19" i="9"/>
  <c r="BI54" i="9"/>
  <c r="BI53" i="9"/>
  <c r="BI37" i="9"/>
  <c r="BI52" i="9"/>
  <c r="BI26" i="9"/>
  <c r="BI43" i="9"/>
  <c r="BI11" i="9"/>
  <c r="BI4" i="9"/>
  <c r="BI48" i="9"/>
  <c r="BI41" i="9"/>
  <c r="BI29" i="9"/>
  <c r="BI49" i="9"/>
  <c r="BI22" i="9"/>
  <c r="BI39" i="9"/>
  <c r="B27" i="3"/>
  <c r="B30" i="8"/>
  <c r="B31" i="8" s="1"/>
  <c r="E64" i="3" s="1"/>
  <c r="H64" i="3" s="1"/>
  <c r="B31" i="2"/>
  <c r="B153" i="9" l="1"/>
  <c r="B155" i="9" s="1"/>
  <c r="B213" i="23" s="1"/>
  <c r="B31" i="9"/>
  <c r="B35" i="9" s="1"/>
  <c r="B98" i="3"/>
  <c r="B96" i="3"/>
  <c r="B30" i="23"/>
  <c r="B33" i="8"/>
  <c r="E66" i="3" s="1"/>
  <c r="H66" i="3" s="1"/>
  <c r="B74" i="3" s="1"/>
  <c r="B34" i="8"/>
  <c r="E67" i="3" s="1"/>
  <c r="B36" i="8"/>
  <c r="E69" i="3" s="1"/>
  <c r="B32" i="8"/>
  <c r="E65" i="3" s="1"/>
  <c r="H65" i="3" s="1"/>
  <c r="G73" i="3" s="1"/>
  <c r="J73" i="3" s="1"/>
  <c r="B35" i="8"/>
  <c r="E68" i="3" s="1"/>
  <c r="B37" i="8"/>
  <c r="E70" i="3" s="1"/>
  <c r="B50" i="3"/>
  <c r="E48" i="3" s="1"/>
  <c r="B57" i="3" s="1"/>
  <c r="B18" i="3"/>
  <c r="E11" i="3" s="1"/>
  <c r="B37" i="2"/>
  <c r="E33" i="3" s="1"/>
  <c r="B38" i="2"/>
  <c r="E34" i="3" s="1"/>
  <c r="B36" i="2"/>
  <c r="E32" i="3" s="1"/>
  <c r="B33" i="2"/>
  <c r="E29" i="3" s="1"/>
  <c r="B37" i="3" s="1"/>
  <c r="D37" i="3" s="1"/>
  <c r="B32" i="2"/>
  <c r="E28" i="3" s="1"/>
  <c r="B36" i="3" s="1"/>
  <c r="G36" i="3" s="1"/>
  <c r="B35" i="2"/>
  <c r="E31" i="3" s="1"/>
  <c r="B34" i="2"/>
  <c r="E30" i="3" s="1"/>
  <c r="B38" i="3" s="1"/>
  <c r="G38" i="3" s="1"/>
  <c r="J38" i="3" s="1"/>
  <c r="B72" i="3"/>
  <c r="G72" i="3"/>
  <c r="B31" i="16"/>
  <c r="B211" i="23" l="1"/>
  <c r="H27" i="9"/>
  <c r="I27" i="9" s="1"/>
  <c r="J27" i="9" s="1"/>
  <c r="C69" i="1" s="1"/>
  <c r="B37" i="9"/>
  <c r="E104" i="3" s="1"/>
  <c r="B89" i="3"/>
  <c r="E82" i="3" s="1"/>
  <c r="F87" i="3" s="1"/>
  <c r="B34" i="9"/>
  <c r="E101" i="3" s="1"/>
  <c r="B38" i="9"/>
  <c r="E105" i="3" s="1"/>
  <c r="B36" i="9"/>
  <c r="E103" i="3" s="1"/>
  <c r="B39" i="9"/>
  <c r="E106" i="3" s="1"/>
  <c r="B115" i="3" s="1"/>
  <c r="G115" i="3" s="1"/>
  <c r="B32" i="9"/>
  <c r="E99" i="3" s="1"/>
  <c r="B33" i="9"/>
  <c r="E100" i="3" s="1"/>
  <c r="B33" i="16"/>
  <c r="B32" i="16"/>
  <c r="B39" i="16"/>
  <c r="E143" i="3" s="1"/>
  <c r="B152" i="3" s="1"/>
  <c r="B38" i="16"/>
  <c r="E142" i="3" s="1"/>
  <c r="B36" i="16"/>
  <c r="E140" i="3" s="1"/>
  <c r="B37" i="16"/>
  <c r="E141" i="3" s="1"/>
  <c r="B35" i="16"/>
  <c r="E139" i="3" s="1"/>
  <c r="B34" i="16"/>
  <c r="E138" i="3" s="1"/>
  <c r="B147" i="3" s="1"/>
  <c r="B55" i="3"/>
  <c r="B56" i="3"/>
  <c r="B58" i="3"/>
  <c r="G37" i="3"/>
  <c r="J37" i="3" s="1"/>
  <c r="D36" i="3"/>
  <c r="G74" i="3"/>
  <c r="J74" i="3" s="1"/>
  <c r="BI10" i="8" s="1"/>
  <c r="B59" i="3"/>
  <c r="B73" i="3"/>
  <c r="D38" i="3"/>
  <c r="M38" i="3"/>
  <c r="BI8" i="2"/>
  <c r="BI5" i="2"/>
  <c r="BI9" i="2"/>
  <c r="BI10" i="2"/>
  <c r="BI11" i="2"/>
  <c r="BI15" i="2"/>
  <c r="BI19" i="2"/>
  <c r="BI23" i="2"/>
  <c r="BI27" i="2"/>
  <c r="BI31" i="2"/>
  <c r="BI35" i="2"/>
  <c r="BI39" i="2"/>
  <c r="BI18" i="2"/>
  <c r="BI20" i="2"/>
  <c r="BI25" i="2"/>
  <c r="BI14" i="2"/>
  <c r="BI16" i="2"/>
  <c r="BI21" i="2"/>
  <c r="BI12" i="2"/>
  <c r="BI17" i="2"/>
  <c r="BI6" i="2"/>
  <c r="BI7" i="2"/>
  <c r="BI34" i="2"/>
  <c r="BI36" i="2"/>
  <c r="BI41" i="2"/>
  <c r="BI4" i="2"/>
  <c r="BI33" i="2"/>
  <c r="BI40" i="2"/>
  <c r="BI50" i="2"/>
  <c r="BI51" i="2"/>
  <c r="BI52" i="2"/>
  <c r="BI46" i="2"/>
  <c r="BI47" i="2"/>
  <c r="BI48" i="2"/>
  <c r="BI53" i="2"/>
  <c r="BI30" i="2"/>
  <c r="BI32" i="2"/>
  <c r="BI38" i="2"/>
  <c r="BI24" i="2"/>
  <c r="BI26" i="2"/>
  <c r="BI28" i="2"/>
  <c r="BI22" i="2"/>
  <c r="BI29" i="2"/>
  <c r="BI37" i="2"/>
  <c r="BI54" i="2"/>
  <c r="BI42" i="2"/>
  <c r="BI43" i="2"/>
  <c r="BI44" i="2"/>
  <c r="BI49" i="2"/>
  <c r="BI13" i="2"/>
  <c r="BI45" i="2"/>
  <c r="BG7" i="8"/>
  <c r="BG11" i="8"/>
  <c r="BG15" i="8"/>
  <c r="BG19" i="8"/>
  <c r="BG9" i="8"/>
  <c r="BG5" i="8"/>
  <c r="BG10" i="8"/>
  <c r="BG17" i="8"/>
  <c r="BG38" i="8"/>
  <c r="BG39" i="8"/>
  <c r="BG6" i="8"/>
  <c r="BG13" i="8"/>
  <c r="BG34" i="8"/>
  <c r="BG35" i="8"/>
  <c r="BG12" i="8"/>
  <c r="BG22" i="8"/>
  <c r="BG23" i="8"/>
  <c r="BG28" i="8"/>
  <c r="BG29" i="8"/>
  <c r="BG8" i="8"/>
  <c r="BG24" i="8"/>
  <c r="BG25" i="8"/>
  <c r="BG41" i="8"/>
  <c r="BG42" i="8"/>
  <c r="BG21" i="8"/>
  <c r="BG43" i="8"/>
  <c r="BG20" i="8"/>
  <c r="BG44" i="8"/>
  <c r="BG16" i="8"/>
  <c r="BG50" i="8"/>
  <c r="BG51" i="8"/>
  <c r="BG54" i="8"/>
  <c r="BG30" i="8"/>
  <c r="BG36" i="8"/>
  <c r="BG40" i="8"/>
  <c r="BG46" i="8"/>
  <c r="BG47" i="8"/>
  <c r="BG52" i="8"/>
  <c r="BG53" i="8"/>
  <c r="BG45" i="8"/>
  <c r="BG18" i="8"/>
  <c r="BG31" i="8"/>
  <c r="BG33" i="8"/>
  <c r="BG37" i="8"/>
  <c r="BG4" i="8"/>
  <c r="BG14" i="8"/>
  <c r="BG27" i="8"/>
  <c r="BG48" i="8"/>
  <c r="BG32" i="8"/>
  <c r="BG49" i="8"/>
  <c r="BG26" i="8"/>
  <c r="F17" i="3"/>
  <c r="F16" i="3"/>
  <c r="F14" i="3"/>
  <c r="F19" i="3"/>
  <c r="F18" i="3"/>
  <c r="F15" i="3"/>
  <c r="B54" i="3"/>
  <c r="J36" i="3"/>
  <c r="M36" i="3" s="1"/>
  <c r="J72" i="3"/>
  <c r="M73" i="3"/>
  <c r="B126" i="3"/>
  <c r="E119" i="3" s="1"/>
  <c r="F124" i="3" s="1"/>
  <c r="E102" i="3"/>
  <c r="B38" i="23" l="1"/>
  <c r="F86" i="3"/>
  <c r="F85" i="3"/>
  <c r="F89" i="3"/>
  <c r="F90" i="3"/>
  <c r="F88" i="3"/>
  <c r="D115" i="3"/>
  <c r="M74" i="3"/>
  <c r="BJ14" i="8" s="1"/>
  <c r="BI50" i="8"/>
  <c r="BI39" i="8"/>
  <c r="BI43" i="8"/>
  <c r="BI9" i="8"/>
  <c r="BI8" i="8"/>
  <c r="G152" i="3"/>
  <c r="D152" i="3"/>
  <c r="BI24" i="8"/>
  <c r="BI4" i="8"/>
  <c r="BI28" i="8"/>
  <c r="BI27" i="8"/>
  <c r="BI48" i="8"/>
  <c r="BI22" i="8"/>
  <c r="BI32" i="8"/>
  <c r="BI29" i="8"/>
  <c r="BI31" i="8"/>
  <c r="BI7" i="8"/>
  <c r="BI17" i="8"/>
  <c r="BI36" i="8"/>
  <c r="BI42" i="8"/>
  <c r="BI14" i="8"/>
  <c r="BI53" i="8"/>
  <c r="BI23" i="8"/>
  <c r="BI41" i="8"/>
  <c r="BI44" i="8"/>
  <c r="BI16" i="8"/>
  <c r="BI6" i="8"/>
  <c r="BI34" i="8"/>
  <c r="BI47" i="8"/>
  <c r="BI19" i="8"/>
  <c r="BI25" i="8"/>
  <c r="BI40" i="8"/>
  <c r="BI21" i="8"/>
  <c r="BI5" i="8"/>
  <c r="BI51" i="8"/>
  <c r="BI46" i="8"/>
  <c r="BI15" i="8"/>
  <c r="BI33" i="8"/>
  <c r="BI37" i="8"/>
  <c r="BI18" i="8"/>
  <c r="BI12" i="8"/>
  <c r="BI35" i="8"/>
  <c r="BI54" i="8"/>
  <c r="BI45" i="8"/>
  <c r="BI26" i="8"/>
  <c r="BI30" i="8"/>
  <c r="BI13" i="8"/>
  <c r="BI11" i="8"/>
  <c r="BI38" i="8"/>
  <c r="BI49" i="8"/>
  <c r="BI52" i="8"/>
  <c r="BI20" i="8"/>
  <c r="BF4" i="2"/>
  <c r="BF14" i="2"/>
  <c r="BF42" i="2"/>
  <c r="BF53" i="2"/>
  <c r="BF50" i="2"/>
  <c r="BF9" i="2"/>
  <c r="BF15" i="2"/>
  <c r="BF25" i="2"/>
  <c r="BF10" i="2"/>
  <c r="BF46" i="2"/>
  <c r="BF20" i="2"/>
  <c r="BF27" i="2"/>
  <c r="BF29" i="2"/>
  <c r="BF19" i="2"/>
  <c r="BF8" i="2"/>
  <c r="BF11" i="2"/>
  <c r="BF38" i="2"/>
  <c r="BF34" i="2"/>
  <c r="BF30" i="2"/>
  <c r="BF44" i="2"/>
  <c r="BF48" i="2"/>
  <c r="BF35" i="2"/>
  <c r="BF26" i="2"/>
  <c r="BF32" i="2"/>
  <c r="BF49" i="2"/>
  <c r="BF43" i="2"/>
  <c r="BF7" i="2"/>
  <c r="BF16" i="2"/>
  <c r="BF41" i="2"/>
  <c r="BF47" i="2"/>
  <c r="BF36" i="2"/>
  <c r="BF18" i="2"/>
  <c r="BF51" i="2"/>
  <c r="BF13" i="2"/>
  <c r="BF54" i="2"/>
  <c r="BF31" i="2"/>
  <c r="BF28" i="2"/>
  <c r="BF17" i="2"/>
  <c r="BF37" i="2"/>
  <c r="BF5" i="2"/>
  <c r="BF39" i="2"/>
  <c r="BF22" i="2"/>
  <c r="BF21" i="2"/>
  <c r="BF33" i="2"/>
  <c r="BF24" i="2"/>
  <c r="BF6" i="2"/>
  <c r="BF52" i="2"/>
  <c r="BF40" i="2"/>
  <c r="BF12" i="2"/>
  <c r="BF23" i="2"/>
  <c r="BF45" i="2"/>
  <c r="M37" i="3"/>
  <c r="BG9" i="2"/>
  <c r="BG10" i="2"/>
  <c r="BG11" i="2"/>
  <c r="BG12" i="2"/>
  <c r="BG17" i="2"/>
  <c r="BG13" i="2"/>
  <c r="BG6" i="2"/>
  <c r="BG7" i="2"/>
  <c r="BG5" i="2"/>
  <c r="BG26" i="2"/>
  <c r="BG27" i="2"/>
  <c r="BG28" i="2"/>
  <c r="BG33" i="2"/>
  <c r="BG44" i="2"/>
  <c r="BG48" i="2"/>
  <c r="BG52" i="2"/>
  <c r="BG39" i="2"/>
  <c r="BG43" i="2"/>
  <c r="BG49" i="2"/>
  <c r="BG4" i="2"/>
  <c r="BG35" i="2"/>
  <c r="BG42" i="2"/>
  <c r="BG45" i="2"/>
  <c r="BG22" i="2"/>
  <c r="BG23" i="2"/>
  <c r="BG24" i="2"/>
  <c r="BG29" i="2"/>
  <c r="BG15" i="2"/>
  <c r="BG21" i="2"/>
  <c r="BG18" i="2"/>
  <c r="BG19" i="2"/>
  <c r="BG20" i="2"/>
  <c r="BG25" i="2"/>
  <c r="BG41" i="2"/>
  <c r="BG54" i="2"/>
  <c r="BG14" i="2"/>
  <c r="BG16" i="2"/>
  <c r="BG8" i="2"/>
  <c r="BG36" i="2"/>
  <c r="BG46" i="2"/>
  <c r="BG47" i="2"/>
  <c r="BG53" i="2"/>
  <c r="BG32" i="2"/>
  <c r="BG40" i="2"/>
  <c r="BG34" i="2"/>
  <c r="BG30" i="2"/>
  <c r="BG37" i="2"/>
  <c r="BG50" i="2"/>
  <c r="BG38" i="2"/>
  <c r="BG31" i="2"/>
  <c r="BG51" i="2"/>
  <c r="M72" i="3"/>
  <c r="BE21" i="8"/>
  <c r="BE24" i="8"/>
  <c r="BE47" i="8"/>
  <c r="BE33" i="8"/>
  <c r="BE8" i="8"/>
  <c r="BE27" i="8"/>
  <c r="BE20" i="8"/>
  <c r="BE5" i="8"/>
  <c r="BE45" i="8"/>
  <c r="BE31" i="8"/>
  <c r="BE35" i="8"/>
  <c r="BE49" i="8"/>
  <c r="BE9" i="8"/>
  <c r="BE36" i="8"/>
  <c r="BE26" i="8"/>
  <c r="BE52" i="8"/>
  <c r="BE6" i="8"/>
  <c r="BE34" i="8"/>
  <c r="BE13" i="8"/>
  <c r="BE54" i="8"/>
  <c r="BE23" i="8"/>
  <c r="BE14" i="8"/>
  <c r="BE15" i="8"/>
  <c r="BE19" i="8"/>
  <c r="BE37" i="8"/>
  <c r="BE18" i="8"/>
  <c r="BE17" i="8"/>
  <c r="BE29" i="8"/>
  <c r="BE11" i="8"/>
  <c r="BE41" i="8"/>
  <c r="BE53" i="8"/>
  <c r="BE10" i="8"/>
  <c r="BE12" i="8"/>
  <c r="BE42" i="8"/>
  <c r="BE50" i="8"/>
  <c r="BE39" i="8"/>
  <c r="BE51" i="8"/>
  <c r="BE25" i="8"/>
  <c r="BE43" i="8"/>
  <c r="BE7" i="8"/>
  <c r="BE4" i="8"/>
  <c r="BE38" i="8"/>
  <c r="BE32" i="8"/>
  <c r="BE40" i="8"/>
  <c r="BE28" i="8"/>
  <c r="BE22" i="8"/>
  <c r="BE16" i="8"/>
  <c r="BE46" i="8"/>
  <c r="BE44" i="8"/>
  <c r="BE48" i="8"/>
  <c r="BE30" i="8"/>
  <c r="BE4" i="2"/>
  <c r="BE6" i="2"/>
  <c r="BE33" i="2"/>
  <c r="BE50" i="2"/>
  <c r="BE46" i="2"/>
  <c r="BE5" i="2"/>
  <c r="BE29" i="2"/>
  <c r="BE19" i="2"/>
  <c r="BE20" i="2"/>
  <c r="BE24" i="2"/>
  <c r="BE54" i="2"/>
  <c r="BE17" i="2"/>
  <c r="BE49" i="2"/>
  <c r="BE51" i="2"/>
  <c r="BE47" i="2"/>
  <c r="BE16" i="2"/>
  <c r="BE12" i="2"/>
  <c r="BE45" i="2"/>
  <c r="BE27" i="2"/>
  <c r="BE23" i="2"/>
  <c r="BE21" i="2"/>
  <c r="BE53" i="2"/>
  <c r="BE43" i="2"/>
  <c r="BE22" i="2"/>
  <c r="BE30" i="2"/>
  <c r="BE7" i="2"/>
  <c r="BE48" i="2"/>
  <c r="BE34" i="2"/>
  <c r="BE35" i="2"/>
  <c r="BE31" i="2"/>
  <c r="BE44" i="2"/>
  <c r="BE9" i="2"/>
  <c r="BE40" i="2"/>
  <c r="BE42" i="2"/>
  <c r="BE8" i="2"/>
  <c r="BE36" i="2"/>
  <c r="BE41" i="2"/>
  <c r="BE25" i="2"/>
  <c r="BE14" i="2"/>
  <c r="BE18" i="2"/>
  <c r="BE37" i="2"/>
  <c r="BE13" i="2"/>
  <c r="BE26" i="2"/>
  <c r="BE15" i="2"/>
  <c r="BE52" i="2"/>
  <c r="BE32" i="2"/>
  <c r="BE11" i="2"/>
  <c r="BE28" i="2"/>
  <c r="BE10" i="2"/>
  <c r="BE38" i="2"/>
  <c r="BE39" i="2"/>
  <c r="BH24" i="8"/>
  <c r="BH5" i="8"/>
  <c r="BH31" i="8"/>
  <c r="BH6" i="8"/>
  <c r="BH20" i="8"/>
  <c r="BH42" i="8"/>
  <c r="BH16" i="8"/>
  <c r="BH33" i="8"/>
  <c r="BH28" i="8"/>
  <c r="BH27" i="8"/>
  <c r="BH32" i="8"/>
  <c r="BH21" i="8"/>
  <c r="BH37" i="8"/>
  <c r="BH13" i="8"/>
  <c r="BH39" i="8"/>
  <c r="BH36" i="8"/>
  <c r="BH35" i="8"/>
  <c r="BH54" i="8"/>
  <c r="BH34" i="8"/>
  <c r="BH7" i="8"/>
  <c r="BH19" i="8"/>
  <c r="BH29" i="8"/>
  <c r="BH53" i="8"/>
  <c r="BH51" i="8"/>
  <c r="BH25" i="8"/>
  <c r="BH4" i="8"/>
  <c r="BH23" i="8"/>
  <c r="BH8" i="8"/>
  <c r="BH46" i="8"/>
  <c r="BH26" i="8"/>
  <c r="BH47" i="8"/>
  <c r="BH11" i="8"/>
  <c r="BH38" i="8"/>
  <c r="BH15" i="8"/>
  <c r="BH52" i="8"/>
  <c r="BH12" i="8"/>
  <c r="BH9" i="8"/>
  <c r="BH30" i="8"/>
  <c r="BH40" i="8"/>
  <c r="BH18" i="8"/>
  <c r="BH22" i="8"/>
  <c r="BH17" i="8"/>
  <c r="BH10" i="8"/>
  <c r="BH50" i="8"/>
  <c r="BH49" i="8"/>
  <c r="BH44" i="8"/>
  <c r="BH14" i="8"/>
  <c r="BH45" i="8"/>
  <c r="BH48" i="8"/>
  <c r="BH43" i="8"/>
  <c r="BH41" i="8"/>
  <c r="BJ37" i="2"/>
  <c r="BJ33" i="2"/>
  <c r="BJ24" i="2"/>
  <c r="BJ4" i="2"/>
  <c r="BJ42" i="2"/>
  <c r="BJ46" i="2"/>
  <c r="BJ29" i="2"/>
  <c r="BJ49" i="2"/>
  <c r="BJ31" i="2"/>
  <c r="BJ11" i="2"/>
  <c r="BJ14" i="2"/>
  <c r="BJ51" i="2"/>
  <c r="BJ53" i="2"/>
  <c r="BJ45" i="2"/>
  <c r="BJ47" i="2"/>
  <c r="BJ18" i="2"/>
  <c r="BJ50" i="2"/>
  <c r="BJ20" i="2"/>
  <c r="BJ23" i="2"/>
  <c r="BJ28" i="2"/>
  <c r="BJ5" i="2"/>
  <c r="BJ12" i="2"/>
  <c r="BJ25" i="2"/>
  <c r="BJ39" i="2"/>
  <c r="BJ36" i="2"/>
  <c r="BJ7" i="2"/>
  <c r="BJ21" i="2"/>
  <c r="BJ27" i="2"/>
  <c r="BJ6" i="2"/>
  <c r="BJ13" i="2"/>
  <c r="BJ19" i="2"/>
  <c r="BJ15" i="2"/>
  <c r="BJ44" i="2"/>
  <c r="BJ38" i="2"/>
  <c r="BJ34" i="2"/>
  <c r="BJ41" i="2"/>
  <c r="BJ48" i="2"/>
  <c r="BJ35" i="2"/>
  <c r="BJ30" i="2"/>
  <c r="BJ52" i="2"/>
  <c r="BJ8" i="2"/>
  <c r="BJ22" i="2"/>
  <c r="BJ17" i="2"/>
  <c r="BJ43" i="2"/>
  <c r="BJ54" i="2"/>
  <c r="BJ32" i="2"/>
  <c r="BJ9" i="2"/>
  <c r="BJ10" i="2"/>
  <c r="BJ26" i="2"/>
  <c r="BJ40" i="2"/>
  <c r="BJ16" i="2"/>
  <c r="E137" i="3"/>
  <c r="B146" i="3" s="1"/>
  <c r="G146" i="3" s="1"/>
  <c r="E136" i="3"/>
  <c r="B145" i="3" s="1"/>
  <c r="D147" i="3"/>
  <c r="F122" i="3"/>
  <c r="F126" i="3"/>
  <c r="F125" i="3"/>
  <c r="F127" i="3"/>
  <c r="F123" i="3"/>
  <c r="B109" i="3"/>
  <c r="B108" i="3"/>
  <c r="B110" i="3"/>
  <c r="D110" i="3" s="1"/>
  <c r="BJ29" i="8" l="1"/>
  <c r="BJ50" i="8"/>
  <c r="BJ7" i="8"/>
  <c r="BJ21" i="8"/>
  <c r="BJ9" i="8"/>
  <c r="BJ43" i="8"/>
  <c r="BJ12" i="8"/>
  <c r="BJ35" i="8"/>
  <c r="BJ53" i="8"/>
  <c r="BJ19" i="8"/>
  <c r="BJ33" i="8"/>
  <c r="BJ27" i="8"/>
  <c r="BJ48" i="8"/>
  <c r="BJ54" i="8"/>
  <c r="BJ4" i="8"/>
  <c r="BJ49" i="8"/>
  <c r="BJ39" i="8"/>
  <c r="BJ30" i="8"/>
  <c r="BJ41" i="8"/>
  <c r="BJ34" i="8"/>
  <c r="BJ37" i="8"/>
  <c r="BJ36" i="8"/>
  <c r="BJ52" i="8"/>
  <c r="BJ17" i="8"/>
  <c r="BJ5" i="8"/>
  <c r="BJ22" i="8"/>
  <c r="BJ40" i="8"/>
  <c r="BJ31" i="8"/>
  <c r="BJ20" i="8"/>
  <c r="BJ18" i="8"/>
  <c r="BJ13" i="8"/>
  <c r="BJ24" i="8"/>
  <c r="J152" i="3"/>
  <c r="BT11" i="16" s="1"/>
  <c r="BJ42" i="8"/>
  <c r="BJ8" i="8"/>
  <c r="BJ46" i="8"/>
  <c r="BJ23" i="8"/>
  <c r="BJ51" i="8"/>
  <c r="BJ16" i="8"/>
  <c r="BJ11" i="8"/>
  <c r="BJ32" i="8"/>
  <c r="BJ26" i="8"/>
  <c r="BJ38" i="8"/>
  <c r="BJ28" i="8"/>
  <c r="BJ6" i="8"/>
  <c r="BJ15" i="8"/>
  <c r="BJ44" i="8"/>
  <c r="BJ45" i="8"/>
  <c r="BJ10" i="8"/>
  <c r="BJ47" i="8"/>
  <c r="BJ25" i="8"/>
  <c r="BH7" i="2"/>
  <c r="BS7" i="2" s="1"/>
  <c r="BH9" i="2"/>
  <c r="BS9" i="2" s="1"/>
  <c r="BH39" i="2"/>
  <c r="BS39" i="2" s="1"/>
  <c r="BH54" i="2"/>
  <c r="BS54" i="2" s="1"/>
  <c r="BH8" i="2"/>
  <c r="BS8" i="2" s="1"/>
  <c r="BH24" i="2"/>
  <c r="BS24" i="2" s="1"/>
  <c r="BH46" i="2"/>
  <c r="BS46" i="2" s="1"/>
  <c r="BH43" i="2"/>
  <c r="BS43" i="2" s="1"/>
  <c r="BH50" i="2"/>
  <c r="BS50" i="2" s="1"/>
  <c r="BH38" i="2"/>
  <c r="BS38" i="2" s="1"/>
  <c r="BH29" i="2"/>
  <c r="BS29" i="2" s="1"/>
  <c r="BH19" i="2"/>
  <c r="BS19" i="2" s="1"/>
  <c r="BH23" i="2"/>
  <c r="BS23" i="2" s="1"/>
  <c r="BH34" i="2"/>
  <c r="BS34" i="2" s="1"/>
  <c r="BH17" i="2"/>
  <c r="BS17" i="2" s="1"/>
  <c r="BH49" i="2"/>
  <c r="BS49" i="2" s="1"/>
  <c r="BH25" i="2"/>
  <c r="BS25" i="2" s="1"/>
  <c r="BH10" i="2"/>
  <c r="BS10" i="2" s="1"/>
  <c r="BH16" i="2"/>
  <c r="BS16" i="2" s="1"/>
  <c r="BH21" i="2"/>
  <c r="BS21" i="2" s="1"/>
  <c r="BH14" i="2"/>
  <c r="BS14" i="2" s="1"/>
  <c r="BH35" i="2"/>
  <c r="BS35" i="2" s="1"/>
  <c r="BH12" i="2"/>
  <c r="BS12" i="2" s="1"/>
  <c r="BH15" i="2"/>
  <c r="BS15" i="2" s="1"/>
  <c r="BH52" i="2"/>
  <c r="BS52" i="2" s="1"/>
  <c r="BH28" i="2"/>
  <c r="BS28" i="2" s="1"/>
  <c r="BH18" i="2"/>
  <c r="BS18" i="2" s="1"/>
  <c r="BH30" i="2"/>
  <c r="BS30" i="2" s="1"/>
  <c r="BH4" i="2"/>
  <c r="BS4" i="2" s="1"/>
  <c r="BH11" i="2"/>
  <c r="BS11" i="2" s="1"/>
  <c r="BH44" i="2"/>
  <c r="BS44" i="2" s="1"/>
  <c r="BH20" i="2"/>
  <c r="BS20" i="2" s="1"/>
  <c r="BH47" i="2"/>
  <c r="BS47" i="2" s="1"/>
  <c r="BH36" i="2"/>
  <c r="BS36" i="2" s="1"/>
  <c r="BH33" i="2"/>
  <c r="BS33" i="2" s="1"/>
  <c r="BH6" i="2"/>
  <c r="BS6" i="2" s="1"/>
  <c r="BH51" i="2"/>
  <c r="BS51" i="2" s="1"/>
  <c r="BH37" i="2"/>
  <c r="BS37" i="2" s="1"/>
  <c r="BH13" i="2"/>
  <c r="BS13" i="2" s="1"/>
  <c r="BH27" i="2"/>
  <c r="BS27" i="2" s="1"/>
  <c r="BH41" i="2"/>
  <c r="BS41" i="2" s="1"/>
  <c r="BH45" i="2"/>
  <c r="BS45" i="2" s="1"/>
  <c r="BH53" i="2"/>
  <c r="BS53" i="2" s="1"/>
  <c r="BH22" i="2"/>
  <c r="BS22" i="2" s="1"/>
  <c r="BH31" i="2"/>
  <c r="BS31" i="2" s="1"/>
  <c r="BH26" i="2"/>
  <c r="BS26" i="2" s="1"/>
  <c r="BH42" i="2"/>
  <c r="BS42" i="2" s="1"/>
  <c r="BH48" i="2"/>
  <c r="BS48" i="2" s="1"/>
  <c r="BH5" i="2"/>
  <c r="BS5" i="2" s="1"/>
  <c r="BH32" i="2"/>
  <c r="BS32" i="2" s="1"/>
  <c r="BH40" i="2"/>
  <c r="BS40" i="2" s="1"/>
  <c r="BF27" i="8"/>
  <c r="BF8" i="8"/>
  <c r="BF5" i="8"/>
  <c r="BS5" i="8" s="1"/>
  <c r="BF33" i="8"/>
  <c r="BF31" i="8"/>
  <c r="BF26" i="8"/>
  <c r="BF21" i="8"/>
  <c r="BF47" i="8"/>
  <c r="BF20" i="8"/>
  <c r="BF35" i="8"/>
  <c r="BS35" i="8" s="1"/>
  <c r="BF52" i="8"/>
  <c r="BF6" i="8"/>
  <c r="BF24" i="8"/>
  <c r="BF22" i="8"/>
  <c r="BF53" i="8"/>
  <c r="BF15" i="8"/>
  <c r="BF16" i="8"/>
  <c r="BS16" i="8" s="1"/>
  <c r="BF13" i="8"/>
  <c r="BF48" i="8"/>
  <c r="BF43" i="8"/>
  <c r="BF41" i="8"/>
  <c r="BS41" i="8" s="1"/>
  <c r="BF36" i="8"/>
  <c r="BF19" i="8"/>
  <c r="BF23" i="8"/>
  <c r="BF25" i="8"/>
  <c r="BF34" i="8"/>
  <c r="BF9" i="8"/>
  <c r="BF37" i="8"/>
  <c r="BF4" i="8"/>
  <c r="BF32" i="8"/>
  <c r="BF50" i="8"/>
  <c r="BF46" i="8"/>
  <c r="BF10" i="8"/>
  <c r="BF38" i="8"/>
  <c r="BF28" i="8"/>
  <c r="BF54" i="8"/>
  <c r="BF44" i="8"/>
  <c r="BF39" i="8"/>
  <c r="BF40" i="8"/>
  <c r="BF29" i="8"/>
  <c r="BF18" i="8"/>
  <c r="BF7" i="8"/>
  <c r="BF12" i="8"/>
  <c r="BF45" i="8"/>
  <c r="BF14" i="8"/>
  <c r="BS14" i="8" s="1"/>
  <c r="BF49" i="8"/>
  <c r="BF17" i="8"/>
  <c r="BF51" i="8"/>
  <c r="BS51" i="8" s="1"/>
  <c r="BF11" i="8"/>
  <c r="BF42" i="8"/>
  <c r="BF30" i="8"/>
  <c r="D146" i="3"/>
  <c r="J146" i="3"/>
  <c r="D145" i="3"/>
  <c r="G108" i="3"/>
  <c r="G145" i="3"/>
  <c r="J145" i="3" s="1"/>
  <c r="D109" i="3"/>
  <c r="G109" i="3"/>
  <c r="G147" i="3"/>
  <c r="D108" i="3"/>
  <c r="G110" i="3"/>
  <c r="J115" i="3" s="1"/>
  <c r="BS15" i="8" l="1"/>
  <c r="BT15" i="8" s="1"/>
  <c r="BS13" i="8"/>
  <c r="BV13" i="8" s="1"/>
  <c r="BS7" i="8"/>
  <c r="BU7" i="8" s="1"/>
  <c r="BS8" i="8"/>
  <c r="BU8" i="8" s="1"/>
  <c r="BS40" i="8"/>
  <c r="BV40" i="8" s="1"/>
  <c r="BS33" i="8"/>
  <c r="BT33" i="8" s="1"/>
  <c r="BS21" i="8"/>
  <c r="BV21" i="8" s="1"/>
  <c r="BS18" i="8"/>
  <c r="BV18" i="8" s="1"/>
  <c r="BS45" i="8"/>
  <c r="BW45" i="8" s="1"/>
  <c r="BS12" i="8"/>
  <c r="BU12" i="8" s="1"/>
  <c r="BS52" i="8"/>
  <c r="BW52" i="8" s="1"/>
  <c r="BS17" i="8"/>
  <c r="BT17" i="8" s="1"/>
  <c r="BS50" i="8"/>
  <c r="BT50" i="8" s="1"/>
  <c r="BS19" i="8"/>
  <c r="BV19" i="8" s="1"/>
  <c r="BS53" i="8"/>
  <c r="BU53" i="8" s="1"/>
  <c r="BS20" i="8"/>
  <c r="BV20" i="8" s="1"/>
  <c r="BS48" i="8"/>
  <c r="BU48" i="8" s="1"/>
  <c r="BS49" i="8"/>
  <c r="BT49" i="8" s="1"/>
  <c r="BS39" i="8"/>
  <c r="BW39" i="8" s="1"/>
  <c r="BS32" i="8"/>
  <c r="BV32" i="8" s="1"/>
  <c r="BS22" i="8"/>
  <c r="BW22" i="8" s="1"/>
  <c r="BS11" i="8"/>
  <c r="BW11" i="8" s="1"/>
  <c r="BS44" i="8"/>
  <c r="BW44" i="8" s="1"/>
  <c r="BS4" i="8"/>
  <c r="BU4" i="8" s="1"/>
  <c r="BS24" i="8"/>
  <c r="BW24" i="8" s="1"/>
  <c r="BS26" i="8"/>
  <c r="BW26" i="8" s="1"/>
  <c r="BS10" i="8"/>
  <c r="BT10" i="8" s="1"/>
  <c r="BS30" i="8"/>
  <c r="BU30" i="8" s="1"/>
  <c r="BS29" i="8"/>
  <c r="BW29" i="8" s="1"/>
  <c r="BS46" i="8"/>
  <c r="BW46" i="8" s="1"/>
  <c r="BS23" i="8"/>
  <c r="BT23" i="8" s="1"/>
  <c r="BS54" i="8"/>
  <c r="BW54" i="8" s="1"/>
  <c r="BS37" i="8"/>
  <c r="BU37" i="8" s="1"/>
  <c r="BS43" i="8"/>
  <c r="BT43" i="8" s="1"/>
  <c r="BS6" i="8"/>
  <c r="BU6" i="8" s="1"/>
  <c r="BS47" i="8"/>
  <c r="BU47" i="8" s="1"/>
  <c r="BS42" i="8"/>
  <c r="BV42" i="8" s="1"/>
  <c r="BS36" i="8"/>
  <c r="BU36" i="8" s="1"/>
  <c r="BS31" i="8"/>
  <c r="BW31" i="8" s="1"/>
  <c r="BS28" i="8"/>
  <c r="BW28" i="8" s="1"/>
  <c r="BS9" i="8"/>
  <c r="BT9" i="8" s="1"/>
  <c r="BS38" i="8"/>
  <c r="BT38" i="8" s="1"/>
  <c r="BS34" i="8"/>
  <c r="BW34" i="8" s="1"/>
  <c r="BS25" i="8"/>
  <c r="BV25" i="8" s="1"/>
  <c r="BS27" i="8"/>
  <c r="BU27" i="8" s="1"/>
  <c r="BW14" i="8"/>
  <c r="BV14" i="8"/>
  <c r="BT14" i="8"/>
  <c r="BU14" i="8"/>
  <c r="BT5" i="8"/>
  <c r="BV5" i="8"/>
  <c r="BU5" i="8"/>
  <c r="BW5" i="8"/>
  <c r="BT41" i="8"/>
  <c r="BV41" i="8"/>
  <c r="BU41" i="8"/>
  <c r="BW41" i="8"/>
  <c r="BV51" i="8"/>
  <c r="BT51" i="8"/>
  <c r="BU51" i="8"/>
  <c r="BW51" i="8"/>
  <c r="BW16" i="8"/>
  <c r="BV16" i="8"/>
  <c r="BT16" i="8"/>
  <c r="BU16" i="8"/>
  <c r="BT35" i="8"/>
  <c r="BV35" i="8"/>
  <c r="BU35" i="8"/>
  <c r="BW35" i="8"/>
  <c r="BT31" i="2"/>
  <c r="BU31" i="2"/>
  <c r="BV31" i="2"/>
  <c r="BW31" i="2"/>
  <c r="BT14" i="2"/>
  <c r="BU14" i="2"/>
  <c r="BV14" i="2"/>
  <c r="BW14" i="2"/>
  <c r="BT6" i="2"/>
  <c r="BU6" i="2"/>
  <c r="BV6" i="2"/>
  <c r="BW6" i="2"/>
  <c r="BT30" i="2"/>
  <c r="BU30" i="2"/>
  <c r="BV30" i="2"/>
  <c r="BW30" i="2"/>
  <c r="BU21" i="2"/>
  <c r="BV21" i="2"/>
  <c r="BW21" i="2"/>
  <c r="BT21" i="2"/>
  <c r="BU19" i="2"/>
  <c r="BT19" i="2"/>
  <c r="BW19" i="2"/>
  <c r="BV19" i="2"/>
  <c r="BT54" i="2"/>
  <c r="BU54" i="2"/>
  <c r="BV54" i="2"/>
  <c r="BW54" i="2"/>
  <c r="BT40" i="2"/>
  <c r="BU40" i="2"/>
  <c r="BV40" i="2"/>
  <c r="BW40" i="2"/>
  <c r="BT53" i="2"/>
  <c r="BU53" i="2"/>
  <c r="BV53" i="2"/>
  <c r="BW53" i="2"/>
  <c r="BU33" i="2"/>
  <c r="BV33" i="2"/>
  <c r="BW33" i="2"/>
  <c r="BT33" i="2"/>
  <c r="BT18" i="2"/>
  <c r="BU18" i="2"/>
  <c r="BV18" i="2"/>
  <c r="BW18" i="2"/>
  <c r="BT16" i="2"/>
  <c r="BU16" i="2"/>
  <c r="BV16" i="2"/>
  <c r="BW16" i="2"/>
  <c r="BU29" i="2"/>
  <c r="BW29" i="2"/>
  <c r="BV29" i="2"/>
  <c r="BT29" i="2"/>
  <c r="BT39" i="2"/>
  <c r="BV39" i="2"/>
  <c r="BW39" i="2"/>
  <c r="BU39" i="2"/>
  <c r="BU35" i="2"/>
  <c r="BV35" i="2"/>
  <c r="BW35" i="2"/>
  <c r="BT35" i="2"/>
  <c r="BT51" i="2"/>
  <c r="BU51" i="2"/>
  <c r="BV51" i="2"/>
  <c r="BW51" i="2"/>
  <c r="BT23" i="2"/>
  <c r="BU23" i="2"/>
  <c r="BV23" i="2"/>
  <c r="BW23" i="2"/>
  <c r="BT32" i="2"/>
  <c r="BU32" i="2"/>
  <c r="BV32" i="2"/>
  <c r="BW32" i="2"/>
  <c r="BT36" i="2"/>
  <c r="BU36" i="2"/>
  <c r="BV36" i="2"/>
  <c r="BW36" i="2"/>
  <c r="BT10" i="2"/>
  <c r="BU10" i="2"/>
  <c r="BV10" i="2"/>
  <c r="BW10" i="2"/>
  <c r="BV9" i="2"/>
  <c r="BT9" i="2"/>
  <c r="BW9" i="2"/>
  <c r="BU9" i="2"/>
  <c r="BT48" i="2"/>
  <c r="BU48" i="2"/>
  <c r="BV48" i="2"/>
  <c r="BW48" i="2"/>
  <c r="BU27" i="2"/>
  <c r="BV27" i="2"/>
  <c r="BT27" i="2"/>
  <c r="BW27" i="2"/>
  <c r="BU15" i="2"/>
  <c r="BW15" i="2"/>
  <c r="BT15" i="2"/>
  <c r="BV15" i="2"/>
  <c r="BU49" i="2"/>
  <c r="BV49" i="2"/>
  <c r="BT49" i="2"/>
  <c r="BW49" i="2"/>
  <c r="BU37" i="2"/>
  <c r="BW37" i="2"/>
  <c r="BT37" i="2"/>
  <c r="BV37" i="2"/>
  <c r="BV4" i="2"/>
  <c r="BU4" i="2"/>
  <c r="BT4" i="2"/>
  <c r="BW4" i="2"/>
  <c r="BT8" i="2"/>
  <c r="BU8" i="2"/>
  <c r="BV8" i="2"/>
  <c r="BW8" i="2"/>
  <c r="BT22" i="2"/>
  <c r="BU22" i="2"/>
  <c r="BV22" i="2"/>
  <c r="BW22" i="2"/>
  <c r="BT45" i="2"/>
  <c r="BU45" i="2"/>
  <c r="BV45" i="2"/>
  <c r="BW45" i="2"/>
  <c r="BT28" i="2"/>
  <c r="BU28" i="2"/>
  <c r="BV28" i="2"/>
  <c r="BW28" i="2"/>
  <c r="BT38" i="2"/>
  <c r="BU38" i="2"/>
  <c r="BV38" i="2"/>
  <c r="BW38" i="2"/>
  <c r="BU7" i="2"/>
  <c r="BT7" i="2"/>
  <c r="BV7" i="2"/>
  <c r="BW7" i="2"/>
  <c r="BT46" i="2"/>
  <c r="BU46" i="2"/>
  <c r="BV46" i="2"/>
  <c r="BW46" i="2"/>
  <c r="BT44" i="2"/>
  <c r="BU44" i="2"/>
  <c r="BV44" i="2"/>
  <c r="BW44" i="2"/>
  <c r="BT20" i="2"/>
  <c r="BU20" i="2"/>
  <c r="BV20" i="2"/>
  <c r="BW20" i="2"/>
  <c r="BU25" i="2"/>
  <c r="BW25" i="2"/>
  <c r="BT25" i="2"/>
  <c r="BV25" i="2"/>
  <c r="BU17" i="2"/>
  <c r="BV17" i="2"/>
  <c r="BW17" i="2"/>
  <c r="BT17" i="2"/>
  <c r="BT12" i="2"/>
  <c r="BU12" i="2"/>
  <c r="BV12" i="2"/>
  <c r="BW12" i="2"/>
  <c r="BU11" i="2"/>
  <c r="BT11" i="2"/>
  <c r="BV11" i="2"/>
  <c r="BW11" i="2"/>
  <c r="BT24" i="2"/>
  <c r="BU24" i="2"/>
  <c r="BV24" i="2"/>
  <c r="BW24" i="2"/>
  <c r="BT34" i="2"/>
  <c r="BU34" i="2"/>
  <c r="BV34" i="2"/>
  <c r="BW34" i="2"/>
  <c r="BT52" i="2"/>
  <c r="BU52" i="2"/>
  <c r="BV52" i="2"/>
  <c r="BW52" i="2"/>
  <c r="BT42" i="2"/>
  <c r="BU42" i="2"/>
  <c r="BV42" i="2"/>
  <c r="BW42" i="2"/>
  <c r="BT26" i="2"/>
  <c r="BU26" i="2"/>
  <c r="BV26" i="2"/>
  <c r="BW26" i="2"/>
  <c r="BU41" i="2"/>
  <c r="BV41" i="2"/>
  <c r="BT41" i="2"/>
  <c r="BW41" i="2"/>
  <c r="BT47" i="2"/>
  <c r="BU47" i="2"/>
  <c r="BV47" i="2"/>
  <c r="BW47" i="2"/>
  <c r="BT13" i="2"/>
  <c r="BU13" i="2"/>
  <c r="BV13" i="2"/>
  <c r="BW13" i="2"/>
  <c r="BU43" i="2"/>
  <c r="BV43" i="2"/>
  <c r="BW43" i="2"/>
  <c r="BT43" i="2"/>
  <c r="BT5" i="2"/>
  <c r="BW5" i="2"/>
  <c r="BU5" i="2"/>
  <c r="BV5" i="2"/>
  <c r="BT50" i="2"/>
  <c r="BU50" i="2"/>
  <c r="BV50" i="2"/>
  <c r="BW50" i="2"/>
  <c r="BT46" i="16"/>
  <c r="BT6" i="16"/>
  <c r="BT45" i="16"/>
  <c r="BT33" i="16"/>
  <c r="BT28" i="16"/>
  <c r="BT8" i="16"/>
  <c r="BT4" i="16"/>
  <c r="BT18" i="16"/>
  <c r="BT31" i="16"/>
  <c r="BT53" i="16"/>
  <c r="BT24" i="16"/>
  <c r="BT7" i="16"/>
  <c r="BT5" i="16"/>
  <c r="BT20" i="16"/>
  <c r="BT25" i="16"/>
  <c r="BT51" i="16"/>
  <c r="BT38" i="16"/>
  <c r="BT9" i="16"/>
  <c r="BT39" i="16"/>
  <c r="BT26" i="16"/>
  <c r="BT22" i="16"/>
  <c r="BT32" i="16"/>
  <c r="BT35" i="16"/>
  <c r="BT30" i="16"/>
  <c r="BT37" i="16"/>
  <c r="BT52" i="16"/>
  <c r="BT49" i="16"/>
  <c r="BT27" i="16"/>
  <c r="M152" i="3"/>
  <c r="BU43" i="16" s="1"/>
  <c r="BT14" i="16"/>
  <c r="BT29" i="16"/>
  <c r="BT40" i="16"/>
  <c r="BT41" i="16"/>
  <c r="BT23" i="16"/>
  <c r="BT42" i="16"/>
  <c r="BT21" i="16"/>
  <c r="BT36" i="16"/>
  <c r="BT13" i="16"/>
  <c r="BT19" i="16"/>
  <c r="BT50" i="16"/>
  <c r="BT10" i="16"/>
  <c r="BT48" i="16"/>
  <c r="BT16" i="16"/>
  <c r="BT47" i="16"/>
  <c r="BT15" i="16"/>
  <c r="BT34" i="16"/>
  <c r="BT54" i="16"/>
  <c r="BT17" i="16"/>
  <c r="BT44" i="16"/>
  <c r="BT12" i="16"/>
  <c r="BT43" i="16"/>
  <c r="BJ4" i="9"/>
  <c r="BJ8" i="9"/>
  <c r="BJ12" i="9"/>
  <c r="BJ16" i="9"/>
  <c r="BJ20" i="9"/>
  <c r="BJ24" i="9"/>
  <c r="BJ28" i="9"/>
  <c r="BJ32" i="9"/>
  <c r="BJ36" i="9"/>
  <c r="BJ40" i="9"/>
  <c r="BJ44" i="9"/>
  <c r="BJ48" i="9"/>
  <c r="BJ52" i="9"/>
  <c r="BJ10" i="9"/>
  <c r="BJ18" i="9"/>
  <c r="BJ30" i="9"/>
  <c r="BJ38" i="9"/>
  <c r="BJ46" i="9"/>
  <c r="BJ5" i="9"/>
  <c r="BJ9" i="9"/>
  <c r="BJ13" i="9"/>
  <c r="BJ17" i="9"/>
  <c r="BJ21" i="9"/>
  <c r="BJ25" i="9"/>
  <c r="BJ29" i="9"/>
  <c r="BJ33" i="9"/>
  <c r="BJ37" i="9"/>
  <c r="BJ41" i="9"/>
  <c r="BJ45" i="9"/>
  <c r="BJ49" i="9"/>
  <c r="BJ53" i="9"/>
  <c r="BJ6" i="9"/>
  <c r="BJ14" i="9"/>
  <c r="BJ26" i="9"/>
  <c r="BJ42" i="9"/>
  <c r="BJ54" i="9"/>
  <c r="BJ22" i="9"/>
  <c r="BJ34" i="9"/>
  <c r="BJ50" i="9"/>
  <c r="BJ19" i="9"/>
  <c r="BJ35" i="9"/>
  <c r="BJ51" i="9"/>
  <c r="BJ7" i="9"/>
  <c r="BJ23" i="9"/>
  <c r="BJ39" i="9"/>
  <c r="BJ11" i="9"/>
  <c r="BJ27" i="9"/>
  <c r="BJ43" i="9"/>
  <c r="BJ15" i="9"/>
  <c r="BJ31" i="9"/>
  <c r="BJ47" i="9"/>
  <c r="M115" i="3"/>
  <c r="BF17" i="16"/>
  <c r="BF32" i="16"/>
  <c r="BF54" i="16"/>
  <c r="BF21" i="16"/>
  <c r="BF23" i="16"/>
  <c r="BF4" i="16"/>
  <c r="BF22" i="16"/>
  <c r="BF42" i="16"/>
  <c r="BF11" i="16"/>
  <c r="BF9" i="16"/>
  <c r="BF7" i="16"/>
  <c r="BF24" i="16"/>
  <c r="BF27" i="16"/>
  <c r="BF14" i="16"/>
  <c r="BF15" i="16"/>
  <c r="BF12" i="16"/>
  <c r="BF40" i="16"/>
  <c r="BF53" i="16"/>
  <c r="BF29" i="16"/>
  <c r="BF13" i="16"/>
  <c r="BF39" i="16"/>
  <c r="BF37" i="16"/>
  <c r="BF44" i="16"/>
  <c r="BF35" i="16"/>
  <c r="BF6" i="16"/>
  <c r="BF34" i="16"/>
  <c r="BF49" i="16"/>
  <c r="BF8" i="16"/>
  <c r="BF33" i="16"/>
  <c r="BF30" i="16"/>
  <c r="BF52" i="16"/>
  <c r="BF48" i="16"/>
  <c r="BF18" i="16"/>
  <c r="BF16" i="16"/>
  <c r="BF10" i="16"/>
  <c r="BF31" i="16"/>
  <c r="BF28" i="16"/>
  <c r="BF51" i="16"/>
  <c r="BF47" i="16"/>
  <c r="BF5" i="16"/>
  <c r="BF38" i="16"/>
  <c r="BF50" i="16"/>
  <c r="BF19" i="16"/>
  <c r="BF20" i="16"/>
  <c r="BF45" i="16"/>
  <c r="BF36" i="16"/>
  <c r="BF46" i="16"/>
  <c r="BF25" i="16"/>
  <c r="BF26" i="16"/>
  <c r="BF41" i="16"/>
  <c r="BF43" i="16"/>
  <c r="M146" i="3"/>
  <c r="BH7" i="16"/>
  <c r="BH15" i="16"/>
  <c r="BH17" i="16"/>
  <c r="BH23" i="16"/>
  <c r="BH10" i="16"/>
  <c r="BH24" i="16"/>
  <c r="BH13" i="16"/>
  <c r="BH19" i="16"/>
  <c r="BH6" i="16"/>
  <c r="BH8" i="16"/>
  <c r="BH16" i="16"/>
  <c r="BH9" i="16"/>
  <c r="BH11" i="16"/>
  <c r="BH21" i="16"/>
  <c r="BH30" i="16"/>
  <c r="BH32" i="16"/>
  <c r="BH45" i="16"/>
  <c r="BH46" i="16"/>
  <c r="BH47" i="16"/>
  <c r="BH48" i="16"/>
  <c r="BH49" i="16"/>
  <c r="BH50" i="16"/>
  <c r="BH51" i="16"/>
  <c r="BH52" i="16"/>
  <c r="BH53" i="16"/>
  <c r="BH54" i="16"/>
  <c r="BH12" i="16"/>
  <c r="BH18" i="16"/>
  <c r="BH25" i="16"/>
  <c r="BH5" i="16"/>
  <c r="BH20" i="16"/>
  <c r="BH26" i="16"/>
  <c r="BH28" i="16"/>
  <c r="BH34" i="16"/>
  <c r="BH36" i="16"/>
  <c r="BH40" i="16"/>
  <c r="BH42" i="16"/>
  <c r="BH44" i="16"/>
  <c r="BH38" i="16"/>
  <c r="BH14" i="16"/>
  <c r="BH22" i="16"/>
  <c r="BH27" i="16"/>
  <c r="BH29" i="16"/>
  <c r="BH35" i="16"/>
  <c r="BH39" i="16"/>
  <c r="BH33" i="16"/>
  <c r="BH37" i="16"/>
  <c r="BH41" i="16"/>
  <c r="BH43" i="16"/>
  <c r="BH4" i="16"/>
  <c r="BH31" i="16"/>
  <c r="M145" i="3"/>
  <c r="J147" i="3"/>
  <c r="J110" i="3"/>
  <c r="J109" i="3"/>
  <c r="BU15" i="8" l="1"/>
  <c r="BT13" i="8"/>
  <c r="BW15" i="8"/>
  <c r="BV15" i="8"/>
  <c r="BU13" i="8"/>
  <c r="BW13" i="8"/>
  <c r="BV7" i="8"/>
  <c r="BT7" i="8"/>
  <c r="BW7" i="8"/>
  <c r="BT8" i="8"/>
  <c r="BU40" i="8"/>
  <c r="BW8" i="8"/>
  <c r="BV8" i="8"/>
  <c r="BT40" i="8"/>
  <c r="BW33" i="8"/>
  <c r="BW40" i="8"/>
  <c r="BW21" i="8"/>
  <c r="BT21" i="8"/>
  <c r="BU33" i="8"/>
  <c r="BV33" i="8"/>
  <c r="BU18" i="8"/>
  <c r="BW12" i="8"/>
  <c r="BT18" i="8"/>
  <c r="BW18" i="8"/>
  <c r="BV45" i="8"/>
  <c r="BT45" i="8"/>
  <c r="BW48" i="8"/>
  <c r="BV24" i="8"/>
  <c r="BW37" i="8"/>
  <c r="BU45" i="8"/>
  <c r="BU21" i="8"/>
  <c r="BV37" i="8"/>
  <c r="BT52" i="8"/>
  <c r="BW17" i="8"/>
  <c r="BU25" i="8"/>
  <c r="BW38" i="8"/>
  <c r="BW49" i="8"/>
  <c r="BT12" i="8"/>
  <c r="BV12" i="8"/>
  <c r="BW32" i="8"/>
  <c r="BU32" i="8"/>
  <c r="BU17" i="8"/>
  <c r="BT32" i="8"/>
  <c r="BW47" i="8"/>
  <c r="BV30" i="8"/>
  <c r="BT30" i="8"/>
  <c r="BW30" i="8"/>
  <c r="BU52" i="8"/>
  <c r="BV52" i="8"/>
  <c r="BV22" i="8"/>
  <c r="BW50" i="8"/>
  <c r="BT53" i="8"/>
  <c r="BW53" i="8"/>
  <c r="BV29" i="8"/>
  <c r="BW20" i="8"/>
  <c r="BV11" i="8"/>
  <c r="BW19" i="8"/>
  <c r="BT11" i="8"/>
  <c r="BU19" i="8"/>
  <c r="BV28" i="8"/>
  <c r="BU22" i="8"/>
  <c r="BU46" i="8"/>
  <c r="BU28" i="8"/>
  <c r="BT19" i="8"/>
  <c r="BV54" i="8"/>
  <c r="BT29" i="8"/>
  <c r="BV27" i="8"/>
  <c r="BT22" i="8"/>
  <c r="BT44" i="8"/>
  <c r="BW4" i="8"/>
  <c r="BT28" i="8"/>
  <c r="BT27" i="8"/>
  <c r="BV44" i="8"/>
  <c r="BT4" i="8"/>
  <c r="BV50" i="8"/>
  <c r="BV53" i="8"/>
  <c r="BU44" i="8"/>
  <c r="BU20" i="8"/>
  <c r="BU50" i="8"/>
  <c r="BU11" i="8"/>
  <c r="BT20" i="8"/>
  <c r="BT26" i="8"/>
  <c r="BV10" i="8"/>
  <c r="BV26" i="8"/>
  <c r="BU10" i="8"/>
  <c r="BV34" i="8"/>
  <c r="BU49" i="8"/>
  <c r="BT6" i="8"/>
  <c r="BT24" i="8"/>
  <c r="BU39" i="8"/>
  <c r="BU26" i="8"/>
  <c r="BW10" i="8"/>
  <c r="BT34" i="8"/>
  <c r="BV49" i="8"/>
  <c r="BV4" i="8"/>
  <c r="BU43" i="8"/>
  <c r="BU54" i="8"/>
  <c r="BU24" i="8"/>
  <c r="BV39" i="8"/>
  <c r="BV17" i="8"/>
  <c r="BT48" i="8"/>
  <c r="BV38" i="8"/>
  <c r="BW9" i="8"/>
  <c r="BW43" i="8"/>
  <c r="BT54" i="8"/>
  <c r="BT39" i="8"/>
  <c r="BT37" i="8"/>
  <c r="BV48" i="8"/>
  <c r="BT46" i="8"/>
  <c r="BU38" i="8"/>
  <c r="BV43" i="8"/>
  <c r="BU29" i="8"/>
  <c r="BW27" i="8"/>
  <c r="BT36" i="8"/>
  <c r="BU42" i="8"/>
  <c r="BW23" i="8"/>
  <c r="BV46" i="8"/>
  <c r="BW36" i="8"/>
  <c r="BW42" i="8"/>
  <c r="BU23" i="8"/>
  <c r="BV23" i="8"/>
  <c r="BV31" i="8"/>
  <c r="BU9" i="8"/>
  <c r="BV9" i="8"/>
  <c r="BT42" i="8"/>
  <c r="BT31" i="8"/>
  <c r="BW6" i="8"/>
  <c r="BW25" i="8"/>
  <c r="BU34" i="8"/>
  <c r="BT47" i="8"/>
  <c r="BT25" i="8"/>
  <c r="BV47" i="8"/>
  <c r="BU31" i="8"/>
  <c r="BV36" i="8"/>
  <c r="BV6" i="8"/>
  <c r="BU11" i="16"/>
  <c r="BU42" i="16"/>
  <c r="BU9" i="16"/>
  <c r="BU35" i="16"/>
  <c r="BU30" i="16"/>
  <c r="BU15" i="16"/>
  <c r="BU20" i="16"/>
  <c r="BU23" i="16"/>
  <c r="BU50" i="16"/>
  <c r="BU53" i="16"/>
  <c r="BU19" i="16"/>
  <c r="BU18" i="16"/>
  <c r="BU52" i="16"/>
  <c r="BU8" i="16"/>
  <c r="BU54" i="16"/>
  <c r="BU7" i="16"/>
  <c r="BU38" i="16"/>
  <c r="BU44" i="16"/>
  <c r="BU31" i="16"/>
  <c r="BU33" i="16"/>
  <c r="BU12" i="16"/>
  <c r="BU39" i="16"/>
  <c r="BU41" i="16"/>
  <c r="BU14" i="16"/>
  <c r="BU17" i="16"/>
  <c r="BU37" i="16"/>
  <c r="BU27" i="16"/>
  <c r="BU34" i="16"/>
  <c r="BU36" i="16"/>
  <c r="BU29" i="16"/>
  <c r="BU5" i="16"/>
  <c r="BU28" i="16"/>
  <c r="BU13" i="16"/>
  <c r="BU46" i="16"/>
  <c r="BU48" i="16"/>
  <c r="BU16" i="16"/>
  <c r="BU25" i="16"/>
  <c r="BU10" i="16"/>
  <c r="BU6" i="16"/>
  <c r="BU45" i="16"/>
  <c r="BU49" i="16"/>
  <c r="BU40" i="16"/>
  <c r="BU26" i="16"/>
  <c r="BU24" i="16"/>
  <c r="BU4" i="16"/>
  <c r="BU51" i="16"/>
  <c r="BU47" i="16"/>
  <c r="BU22" i="16"/>
  <c r="BU21" i="16"/>
  <c r="BU32" i="16"/>
  <c r="BK7" i="9"/>
  <c r="BK11" i="9"/>
  <c r="BK15" i="9"/>
  <c r="BK19" i="9"/>
  <c r="BK23" i="9"/>
  <c r="BK27" i="9"/>
  <c r="BK31" i="9"/>
  <c r="BK35" i="9"/>
  <c r="BK39" i="9"/>
  <c r="BK43" i="9"/>
  <c r="BK47" i="9"/>
  <c r="BK51" i="9"/>
  <c r="BK8" i="9"/>
  <c r="BK12" i="9"/>
  <c r="BK16" i="9"/>
  <c r="BK20" i="9"/>
  <c r="BK24" i="9"/>
  <c r="BK28" i="9"/>
  <c r="BK32" i="9"/>
  <c r="BK36" i="9"/>
  <c r="BK40" i="9"/>
  <c r="BK44" i="9"/>
  <c r="BK48" i="9"/>
  <c r="BK52" i="9"/>
  <c r="BK5" i="9"/>
  <c r="BK9" i="9"/>
  <c r="BK13" i="9"/>
  <c r="BK17" i="9"/>
  <c r="BK21" i="9"/>
  <c r="BK25" i="9"/>
  <c r="BK29" i="9"/>
  <c r="BK33" i="9"/>
  <c r="BK37" i="9"/>
  <c r="BK41" i="9"/>
  <c r="BK45" i="9"/>
  <c r="BK49" i="9"/>
  <c r="BK53" i="9"/>
  <c r="BK18" i="9"/>
  <c r="BK34" i="9"/>
  <c r="BK50" i="9"/>
  <c r="BK6" i="9"/>
  <c r="BK22" i="9"/>
  <c r="BK38" i="9"/>
  <c r="BK54" i="9"/>
  <c r="BK4" i="9"/>
  <c r="BK10" i="9"/>
  <c r="BK26" i="9"/>
  <c r="BK42" i="9"/>
  <c r="BK14" i="9"/>
  <c r="BK30" i="9"/>
  <c r="BK46" i="9"/>
  <c r="AX8" i="9"/>
  <c r="AX12" i="9"/>
  <c r="AX16" i="9"/>
  <c r="AX20" i="9"/>
  <c r="AX24" i="9"/>
  <c r="AX28" i="9"/>
  <c r="AX32" i="9"/>
  <c r="AX36" i="9"/>
  <c r="AX40" i="9"/>
  <c r="AX7" i="9"/>
  <c r="AX11" i="9"/>
  <c r="AX15" i="9"/>
  <c r="AX19" i="9"/>
  <c r="AX23" i="9"/>
  <c r="AX27" i="9"/>
  <c r="AX31" i="9"/>
  <c r="AX35" i="9"/>
  <c r="AX39" i="9"/>
  <c r="AX10" i="9"/>
  <c r="AX18" i="9"/>
  <c r="AX26" i="9"/>
  <c r="AX34" i="9"/>
  <c r="AX42" i="9"/>
  <c r="AX52" i="9"/>
  <c r="AX54" i="9"/>
  <c r="AX53" i="9"/>
  <c r="AX6" i="9"/>
  <c r="AX9" i="9"/>
  <c r="AX17" i="9"/>
  <c r="AX25" i="9"/>
  <c r="AX33" i="9"/>
  <c r="AX41" i="9"/>
  <c r="AX49" i="9"/>
  <c r="AX14" i="9"/>
  <c r="AX43" i="9"/>
  <c r="AX46" i="9"/>
  <c r="AX4" i="9"/>
  <c r="AX5" i="9"/>
  <c r="AX13" i="9"/>
  <c r="AX21" i="9"/>
  <c r="AX29" i="9"/>
  <c r="AX37" i="9"/>
  <c r="AX48" i="9"/>
  <c r="AX51" i="9"/>
  <c r="AX45" i="9"/>
  <c r="AX44" i="9"/>
  <c r="AX50" i="9"/>
  <c r="AX22" i="9"/>
  <c r="AX47" i="9"/>
  <c r="AX38" i="9"/>
  <c r="AX30" i="9"/>
  <c r="AZ5" i="9"/>
  <c r="AZ9" i="9"/>
  <c r="AZ13" i="9"/>
  <c r="AZ17" i="9"/>
  <c r="AZ21" i="9"/>
  <c r="AZ25" i="9"/>
  <c r="AZ29" i="9"/>
  <c r="AZ33" i="9"/>
  <c r="AZ37" i="9"/>
  <c r="AZ41" i="9"/>
  <c r="AZ8" i="9"/>
  <c r="AZ12" i="9"/>
  <c r="AZ16" i="9"/>
  <c r="AZ20" i="9"/>
  <c r="AZ24" i="9"/>
  <c r="AZ28" i="9"/>
  <c r="AZ32" i="9"/>
  <c r="AZ36" i="9"/>
  <c r="AZ40" i="9"/>
  <c r="AZ11" i="9"/>
  <c r="AZ19" i="9"/>
  <c r="AZ27" i="9"/>
  <c r="AZ35" i="9"/>
  <c r="AZ45" i="9"/>
  <c r="AZ48" i="9"/>
  <c r="AZ51" i="9"/>
  <c r="AZ4" i="9"/>
  <c r="AZ10" i="9"/>
  <c r="AZ18" i="9"/>
  <c r="AZ26" i="9"/>
  <c r="AZ34" i="9"/>
  <c r="AZ42" i="9"/>
  <c r="AZ54" i="9"/>
  <c r="AZ49" i="9"/>
  <c r="AZ52" i="9"/>
  <c r="AZ6" i="9"/>
  <c r="AZ14" i="9"/>
  <c r="AZ22" i="9"/>
  <c r="AZ30" i="9"/>
  <c r="AZ38" i="9"/>
  <c r="AZ50" i="9"/>
  <c r="AZ53" i="9"/>
  <c r="AZ44" i="9"/>
  <c r="AZ47" i="9"/>
  <c r="AZ46" i="9"/>
  <c r="AZ7" i="9"/>
  <c r="AZ15" i="9"/>
  <c r="AZ43" i="9"/>
  <c r="AZ39" i="9"/>
  <c r="AZ31" i="9"/>
  <c r="AZ23" i="9"/>
  <c r="BI5" i="16"/>
  <c r="BI12" i="16"/>
  <c r="BI20" i="16"/>
  <c r="BI22" i="16"/>
  <c r="BI7" i="16"/>
  <c r="BI15" i="16"/>
  <c r="BI17" i="16"/>
  <c r="BI23" i="16"/>
  <c r="BI10" i="16"/>
  <c r="BI24" i="16"/>
  <c r="BI13" i="16"/>
  <c r="BI19" i="16"/>
  <c r="BI14" i="16"/>
  <c r="BI16" i="16"/>
  <c r="BI27" i="16"/>
  <c r="BI9" i="16"/>
  <c r="BI11" i="16"/>
  <c r="BI21" i="16"/>
  <c r="BI8" i="16"/>
  <c r="BI18" i="16"/>
  <c r="BI25" i="16"/>
  <c r="BI35" i="16"/>
  <c r="BI31" i="16"/>
  <c r="BI37" i="16"/>
  <c r="BI33" i="16"/>
  <c r="BI42" i="16"/>
  <c r="BI46" i="16"/>
  <c r="BI50" i="16"/>
  <c r="BI48" i="16"/>
  <c r="BI4" i="16"/>
  <c r="BI29" i="16"/>
  <c r="BI30" i="16"/>
  <c r="BI32" i="16"/>
  <c r="BI34" i="16"/>
  <c r="BI36" i="16"/>
  <c r="BI28" i="16"/>
  <c r="BI47" i="16"/>
  <c r="BI39" i="16"/>
  <c r="BI54" i="16"/>
  <c r="BI38" i="16"/>
  <c r="BI40" i="16"/>
  <c r="BI45" i="16"/>
  <c r="BI49" i="16"/>
  <c r="BI52" i="16"/>
  <c r="BI44" i="16"/>
  <c r="BI53" i="16"/>
  <c r="BI26" i="16"/>
  <c r="BI6" i="16"/>
  <c r="BI43" i="16"/>
  <c r="BI41" i="16"/>
  <c r="BI51" i="16"/>
  <c r="BG5" i="16"/>
  <c r="BG6" i="16"/>
  <c r="BG7" i="16"/>
  <c r="BG8" i="16"/>
  <c r="BG9" i="16"/>
  <c r="BG10" i="16"/>
  <c r="BG11" i="16"/>
  <c r="BG12" i="16"/>
  <c r="BG13" i="16"/>
  <c r="BG14" i="16"/>
  <c r="BG15" i="16"/>
  <c r="BG16" i="16"/>
  <c r="BG17" i="16"/>
  <c r="BG18" i="16"/>
  <c r="BG19" i="16"/>
  <c r="BG20" i="16"/>
  <c r="BG21" i="16"/>
  <c r="BG22" i="16"/>
  <c r="BG23" i="16"/>
  <c r="BG24" i="16"/>
  <c r="BG25" i="16"/>
  <c r="BG26" i="16"/>
  <c r="BG27" i="16"/>
  <c r="BG28" i="16"/>
  <c r="BG29" i="16"/>
  <c r="BG30" i="16"/>
  <c r="BG31" i="16"/>
  <c r="BG32" i="16"/>
  <c r="BG33" i="16"/>
  <c r="BG34" i="16"/>
  <c r="BG35" i="16"/>
  <c r="BG36" i="16"/>
  <c r="BG37" i="16"/>
  <c r="BG38" i="16"/>
  <c r="BG39" i="16"/>
  <c r="BG40" i="16"/>
  <c r="BG41" i="16"/>
  <c r="BG42" i="16"/>
  <c r="BG43" i="16"/>
  <c r="BG44" i="16"/>
  <c r="BG4" i="16"/>
  <c r="BG45" i="16"/>
  <c r="BG49" i="16"/>
  <c r="BG52" i="16"/>
  <c r="BG47" i="16"/>
  <c r="BG51" i="16"/>
  <c r="BG48" i="16"/>
  <c r="BG53" i="16"/>
  <c r="BG54" i="16"/>
  <c r="BG46" i="16"/>
  <c r="BG50" i="16"/>
  <c r="M147" i="3"/>
  <c r="BJ9" i="16"/>
  <c r="BJ21" i="16"/>
  <c r="BJ5" i="16"/>
  <c r="BJ12" i="16"/>
  <c r="BJ20" i="16"/>
  <c r="BJ22" i="16"/>
  <c r="BJ7" i="16"/>
  <c r="BJ15" i="16"/>
  <c r="BJ17" i="16"/>
  <c r="BJ23" i="16"/>
  <c r="BJ10" i="16"/>
  <c r="BJ24" i="16"/>
  <c r="BJ6" i="16"/>
  <c r="BJ39" i="16"/>
  <c r="BJ41" i="16"/>
  <c r="BJ43" i="16"/>
  <c r="BJ14" i="16"/>
  <c r="BJ16" i="16"/>
  <c r="BJ27" i="16"/>
  <c r="BJ11" i="16"/>
  <c r="BJ30" i="16"/>
  <c r="BJ32" i="16"/>
  <c r="BJ45" i="16"/>
  <c r="BJ46" i="16"/>
  <c r="BJ47" i="16"/>
  <c r="BJ48" i="16"/>
  <c r="BJ49" i="16"/>
  <c r="BJ50" i="16"/>
  <c r="BJ51" i="16"/>
  <c r="BJ13" i="16"/>
  <c r="BJ26" i="16"/>
  <c r="BJ28" i="16"/>
  <c r="BJ34" i="16"/>
  <c r="BJ36" i="16"/>
  <c r="BJ40" i="16"/>
  <c r="BJ42" i="16"/>
  <c r="BJ44" i="16"/>
  <c r="BJ18" i="16"/>
  <c r="BJ54" i="16"/>
  <c r="BJ8" i="16"/>
  <c r="BJ33" i="16"/>
  <c r="BJ35" i="16"/>
  <c r="BJ52" i="16"/>
  <c r="BJ31" i="16"/>
  <c r="BJ29" i="16"/>
  <c r="BJ37" i="16"/>
  <c r="BJ4" i="16"/>
  <c r="BJ19" i="16"/>
  <c r="BJ38" i="16"/>
  <c r="BJ25" i="16"/>
  <c r="BJ53" i="16"/>
  <c r="M110" i="3"/>
  <c r="M109" i="3"/>
  <c r="J108" i="3"/>
  <c r="AV7" i="9" l="1"/>
  <c r="AV11" i="9"/>
  <c r="AV15" i="9"/>
  <c r="AV19" i="9"/>
  <c r="AV23" i="9"/>
  <c r="AV27" i="9"/>
  <c r="AV31" i="9"/>
  <c r="AV35" i="9"/>
  <c r="AV39" i="9"/>
  <c r="AV6" i="9"/>
  <c r="AV10" i="9"/>
  <c r="AV14" i="9"/>
  <c r="AV18" i="9"/>
  <c r="AV22" i="9"/>
  <c r="AV26" i="9"/>
  <c r="AV30" i="9"/>
  <c r="AV34" i="9"/>
  <c r="AV38" i="9"/>
  <c r="AV42" i="9"/>
  <c r="AV9" i="9"/>
  <c r="AV17" i="9"/>
  <c r="AV25" i="9"/>
  <c r="AV33" i="9"/>
  <c r="AV41" i="9"/>
  <c r="AV43" i="9"/>
  <c r="AV46" i="9"/>
  <c r="AV49" i="9"/>
  <c r="AV8" i="9"/>
  <c r="AV16" i="9"/>
  <c r="AV24" i="9"/>
  <c r="AV32" i="9"/>
  <c r="AV40" i="9"/>
  <c r="AV5" i="9"/>
  <c r="AV47" i="9"/>
  <c r="AV50" i="9"/>
  <c r="AV53" i="9"/>
  <c r="AV13" i="9"/>
  <c r="AV12" i="9"/>
  <c r="AV20" i="9"/>
  <c r="AV28" i="9"/>
  <c r="AV36" i="9"/>
  <c r="AV48" i="9"/>
  <c r="AV45" i="9"/>
  <c r="AV52" i="9"/>
  <c r="AV54" i="9"/>
  <c r="AV44" i="9"/>
  <c r="AV21" i="9"/>
  <c r="AV37" i="9"/>
  <c r="AV51" i="9"/>
  <c r="AV29" i="9"/>
  <c r="AY6" i="9"/>
  <c r="AY10" i="9"/>
  <c r="AY14" i="9"/>
  <c r="AY18" i="9"/>
  <c r="AY22" i="9"/>
  <c r="AY26" i="9"/>
  <c r="AY30" i="9"/>
  <c r="AY34" i="9"/>
  <c r="AY38" i="9"/>
  <c r="AY42" i="9"/>
  <c r="AY46" i="9"/>
  <c r="AY50" i="9"/>
  <c r="AY5" i="9"/>
  <c r="AY9" i="9"/>
  <c r="AY13" i="9"/>
  <c r="AY17" i="9"/>
  <c r="AY21" i="9"/>
  <c r="AY25" i="9"/>
  <c r="AY29" i="9"/>
  <c r="AY33" i="9"/>
  <c r="AY37" i="9"/>
  <c r="AY41" i="9"/>
  <c r="AY45" i="9"/>
  <c r="AY49" i="9"/>
  <c r="AY15" i="9"/>
  <c r="AY23" i="9"/>
  <c r="AY31" i="9"/>
  <c r="AY52" i="9"/>
  <c r="AY43" i="9"/>
  <c r="AY8" i="9"/>
  <c r="AY16" i="9"/>
  <c r="AY24" i="9"/>
  <c r="AY32" i="9"/>
  <c r="AY40" i="9"/>
  <c r="AY54" i="9"/>
  <c r="AY7" i="9"/>
  <c r="AY44" i="9"/>
  <c r="AY47" i="9"/>
  <c r="AY12" i="9"/>
  <c r="AY20" i="9"/>
  <c r="AY28" i="9"/>
  <c r="AY36" i="9"/>
  <c r="AY11" i="9"/>
  <c r="AY19" i="9"/>
  <c r="AY27" i="9"/>
  <c r="AY35" i="9"/>
  <c r="AY48" i="9"/>
  <c r="AY51" i="9"/>
  <c r="AY39" i="9"/>
  <c r="AY53" i="9"/>
  <c r="BA7" i="9"/>
  <c r="BA11" i="9"/>
  <c r="BA15" i="9"/>
  <c r="BA19" i="9"/>
  <c r="BA23" i="9"/>
  <c r="BA27" i="9"/>
  <c r="BA31" i="9"/>
  <c r="BA35" i="9"/>
  <c r="BA39" i="9"/>
  <c r="BA43" i="9"/>
  <c r="BA47" i="9"/>
  <c r="BA51" i="9"/>
  <c r="BA6" i="9"/>
  <c r="BA10" i="9"/>
  <c r="BA14" i="9"/>
  <c r="BA18" i="9"/>
  <c r="BA22" i="9"/>
  <c r="BA26" i="9"/>
  <c r="BA30" i="9"/>
  <c r="BA34" i="9"/>
  <c r="BA38" i="9"/>
  <c r="BA42" i="9"/>
  <c r="BA46" i="9"/>
  <c r="BA50" i="9"/>
  <c r="BA8" i="9"/>
  <c r="BA40" i="9"/>
  <c r="BA45" i="9"/>
  <c r="BA48" i="9"/>
  <c r="BA16" i="9"/>
  <c r="BA9" i="9"/>
  <c r="BA17" i="9"/>
  <c r="BA25" i="9"/>
  <c r="BA33" i="9"/>
  <c r="BA41" i="9"/>
  <c r="BA24" i="9"/>
  <c r="BA49" i="9"/>
  <c r="BA52" i="9"/>
  <c r="BA5" i="9"/>
  <c r="BA13" i="9"/>
  <c r="BA21" i="9"/>
  <c r="BA29" i="9"/>
  <c r="BA37" i="9"/>
  <c r="BA53" i="9"/>
  <c r="BA12" i="9"/>
  <c r="BA20" i="9"/>
  <c r="BA28" i="9"/>
  <c r="BA36" i="9"/>
  <c r="BA44" i="9"/>
  <c r="BA32" i="9"/>
  <c r="BA54" i="9"/>
  <c r="BK14" i="16"/>
  <c r="BV14" i="16" s="1"/>
  <c r="BK18" i="16"/>
  <c r="BV18" i="16" s="1"/>
  <c r="BK25" i="16"/>
  <c r="BV25" i="16" s="1"/>
  <c r="BK9" i="16"/>
  <c r="BV9" i="16" s="1"/>
  <c r="BK21" i="16"/>
  <c r="BV21" i="16" s="1"/>
  <c r="BK5" i="16"/>
  <c r="BV5" i="16" s="1"/>
  <c r="BK12" i="16"/>
  <c r="BV12" i="16" s="1"/>
  <c r="BK20" i="16"/>
  <c r="BV20" i="16" s="1"/>
  <c r="BK22" i="16"/>
  <c r="BV22" i="16" s="1"/>
  <c r="BK7" i="16"/>
  <c r="BV7" i="16" s="1"/>
  <c r="BK15" i="16"/>
  <c r="BV15" i="16" s="1"/>
  <c r="BK17" i="16"/>
  <c r="BV17" i="16" s="1"/>
  <c r="BK23" i="16"/>
  <c r="BV23" i="16" s="1"/>
  <c r="BK19" i="16"/>
  <c r="BV19" i="16" s="1"/>
  <c r="BK29" i="16"/>
  <c r="BV29" i="16" s="1"/>
  <c r="BK33" i="16"/>
  <c r="BV33" i="16" s="1"/>
  <c r="BK6" i="16"/>
  <c r="BV6" i="16" s="1"/>
  <c r="BK16" i="16"/>
  <c r="BV16" i="16" s="1"/>
  <c r="BK27" i="16"/>
  <c r="BV27" i="16" s="1"/>
  <c r="BK8" i="16"/>
  <c r="BV8" i="16" s="1"/>
  <c r="BK35" i="16"/>
  <c r="BV35" i="16" s="1"/>
  <c r="BK10" i="16"/>
  <c r="BV10" i="16" s="1"/>
  <c r="BK26" i="16"/>
  <c r="BV26" i="16" s="1"/>
  <c r="BK31" i="16"/>
  <c r="BV31" i="16" s="1"/>
  <c r="BK39" i="16"/>
  <c r="BV39" i="16" s="1"/>
  <c r="BK53" i="16"/>
  <c r="BV53" i="16" s="1"/>
  <c r="BK38" i="16"/>
  <c r="BV38" i="16" s="1"/>
  <c r="BK48" i="16"/>
  <c r="BV48" i="16" s="1"/>
  <c r="BK44" i="16"/>
  <c r="BV44" i="16" s="1"/>
  <c r="BK47" i="16"/>
  <c r="BV47" i="16" s="1"/>
  <c r="BK51" i="16"/>
  <c r="BV51" i="16" s="1"/>
  <c r="BK52" i="16"/>
  <c r="BV52" i="16" s="1"/>
  <c r="BK42" i="16"/>
  <c r="BV42" i="16" s="1"/>
  <c r="BK46" i="16"/>
  <c r="BV46" i="16" s="1"/>
  <c r="BK50" i="16"/>
  <c r="BV50" i="16" s="1"/>
  <c r="BK54" i="16"/>
  <c r="BV54" i="16" s="1"/>
  <c r="BK11" i="16"/>
  <c r="BV11" i="16" s="1"/>
  <c r="BK24" i="16"/>
  <c r="BV24" i="16" s="1"/>
  <c r="BK30" i="16"/>
  <c r="BV30" i="16" s="1"/>
  <c r="BK32" i="16"/>
  <c r="BV32" i="16" s="1"/>
  <c r="BK34" i="16"/>
  <c r="BV34" i="16" s="1"/>
  <c r="BK36" i="16"/>
  <c r="BV36" i="16" s="1"/>
  <c r="BK37" i="16"/>
  <c r="BV37" i="16" s="1"/>
  <c r="BK40" i="16"/>
  <c r="BV40" i="16" s="1"/>
  <c r="BK45" i="16"/>
  <c r="BV45" i="16" s="1"/>
  <c r="BK49" i="16"/>
  <c r="BV49" i="16" s="1"/>
  <c r="BK4" i="16"/>
  <c r="BV4" i="16" s="1"/>
  <c r="BK43" i="16"/>
  <c r="BV43" i="16" s="1"/>
  <c r="BK28" i="16"/>
  <c r="BV28" i="16" s="1"/>
  <c r="BK41" i="16"/>
  <c r="BV41" i="16" s="1"/>
  <c r="BK13" i="16"/>
  <c r="BV13" i="16" s="1"/>
  <c r="AY4" i="9"/>
  <c r="BA4" i="9"/>
  <c r="AV4" i="9"/>
  <c r="M108" i="3"/>
  <c r="BW51" i="16" l="1"/>
  <c r="BX51" i="16"/>
  <c r="BY51" i="16"/>
  <c r="BZ51" i="16"/>
  <c r="BZ12" i="16"/>
  <c r="BW12" i="16"/>
  <c r="BX12" i="16"/>
  <c r="BY12" i="16"/>
  <c r="BW47" i="16"/>
  <c r="BX47" i="16"/>
  <c r="BY47" i="16"/>
  <c r="BZ47" i="16"/>
  <c r="BW5" i="16"/>
  <c r="BX5" i="16"/>
  <c r="BY5" i="16"/>
  <c r="BZ5" i="16"/>
  <c r="BW11" i="16"/>
  <c r="BZ11" i="16"/>
  <c r="BX11" i="16"/>
  <c r="BY11" i="16"/>
  <c r="BY35" i="16"/>
  <c r="BX35" i="16"/>
  <c r="BW35" i="16"/>
  <c r="BZ35" i="16"/>
  <c r="BW13" i="16"/>
  <c r="BY13" i="16"/>
  <c r="BX13" i="16"/>
  <c r="BZ13" i="16"/>
  <c r="BW37" i="16"/>
  <c r="BX37" i="16"/>
  <c r="BY37" i="16"/>
  <c r="BZ37" i="16"/>
  <c r="BW50" i="16"/>
  <c r="BX50" i="16"/>
  <c r="BZ50" i="16"/>
  <c r="BY50" i="16"/>
  <c r="BZ27" i="16"/>
  <c r="BW27" i="16"/>
  <c r="BX27" i="16"/>
  <c r="BY27" i="16"/>
  <c r="BW15" i="16"/>
  <c r="BZ15" i="16"/>
  <c r="BX15" i="16"/>
  <c r="BY15" i="16"/>
  <c r="BW25" i="16"/>
  <c r="BY25" i="16"/>
  <c r="BZ25" i="16"/>
  <c r="BX25" i="16"/>
  <c r="BW41" i="16"/>
  <c r="BX41" i="16"/>
  <c r="BY41" i="16"/>
  <c r="BZ41" i="16"/>
  <c r="BX36" i="16"/>
  <c r="BY36" i="16"/>
  <c r="BZ36" i="16"/>
  <c r="BW36" i="16"/>
  <c r="BW46" i="16"/>
  <c r="BX46" i="16"/>
  <c r="BY46" i="16"/>
  <c r="BZ46" i="16"/>
  <c r="BZ53" i="16"/>
  <c r="BW53" i="16"/>
  <c r="BX53" i="16"/>
  <c r="BY53" i="16"/>
  <c r="BZ16" i="16"/>
  <c r="BW16" i="16"/>
  <c r="BX16" i="16"/>
  <c r="BY16" i="16"/>
  <c r="BW7" i="16"/>
  <c r="BX7" i="16"/>
  <c r="BY7" i="16"/>
  <c r="BZ7" i="16"/>
  <c r="BZ18" i="16"/>
  <c r="BW18" i="16"/>
  <c r="BX18" i="16"/>
  <c r="BY18" i="16"/>
  <c r="BY28" i="16"/>
  <c r="BZ28" i="16"/>
  <c r="BW28" i="16"/>
  <c r="BX28" i="16"/>
  <c r="BY34" i="16"/>
  <c r="BZ34" i="16"/>
  <c r="BW34" i="16"/>
  <c r="BX34" i="16"/>
  <c r="BX42" i="16"/>
  <c r="BY42" i="16"/>
  <c r="BZ42" i="16"/>
  <c r="BW42" i="16"/>
  <c r="BW39" i="16"/>
  <c r="BX39" i="16"/>
  <c r="BY39" i="16"/>
  <c r="BZ39" i="16"/>
  <c r="BW6" i="16"/>
  <c r="BX6" i="16"/>
  <c r="BY6" i="16"/>
  <c r="BZ6" i="16"/>
  <c r="BZ22" i="16"/>
  <c r="BW22" i="16"/>
  <c r="BX22" i="16"/>
  <c r="BY22" i="16"/>
  <c r="BZ14" i="16"/>
  <c r="BW14" i="16"/>
  <c r="BX14" i="16"/>
  <c r="BY14" i="16"/>
  <c r="BW43" i="16"/>
  <c r="BX43" i="16"/>
  <c r="BY43" i="16"/>
  <c r="BZ43" i="16"/>
  <c r="BY32" i="16"/>
  <c r="BZ32" i="16"/>
  <c r="BW32" i="16"/>
  <c r="BX32" i="16"/>
  <c r="BY52" i="16"/>
  <c r="BW52" i="16"/>
  <c r="BX52" i="16"/>
  <c r="BZ52" i="16"/>
  <c r="BX31" i="16"/>
  <c r="BY31" i="16"/>
  <c r="BW31" i="16"/>
  <c r="BZ31" i="16"/>
  <c r="BX33" i="16"/>
  <c r="BY33" i="16"/>
  <c r="BW33" i="16"/>
  <c r="BZ33" i="16"/>
  <c r="BZ20" i="16"/>
  <c r="BW20" i="16"/>
  <c r="BX20" i="16"/>
  <c r="BY20" i="16"/>
  <c r="BZ26" i="16"/>
  <c r="BW26" i="16"/>
  <c r="BX26" i="16"/>
  <c r="BY26" i="16"/>
  <c r="BZ24" i="16"/>
  <c r="BW24" i="16"/>
  <c r="BX24" i="16"/>
  <c r="BY24" i="16"/>
  <c r="BW10" i="16"/>
  <c r="BX10" i="16"/>
  <c r="BY10" i="16"/>
  <c r="BZ10" i="16"/>
  <c r="BW45" i="16"/>
  <c r="BX45" i="16"/>
  <c r="BY45" i="16"/>
  <c r="BZ45" i="16"/>
  <c r="BW44" i="16"/>
  <c r="BX44" i="16"/>
  <c r="BZ44" i="16"/>
  <c r="BY44" i="16"/>
  <c r="BW23" i="16"/>
  <c r="BX23" i="16"/>
  <c r="BY23" i="16"/>
  <c r="BZ23" i="16"/>
  <c r="BY21" i="16"/>
  <c r="BW21" i="16"/>
  <c r="BX21" i="16"/>
  <c r="BZ21" i="16"/>
  <c r="BX40" i="16"/>
  <c r="BY40" i="16"/>
  <c r="BZ40" i="16"/>
  <c r="BW40" i="16"/>
  <c r="BW54" i="16"/>
  <c r="BY54" i="16"/>
  <c r="BZ54" i="16"/>
  <c r="BX54" i="16"/>
  <c r="BW48" i="16"/>
  <c r="BZ48" i="16"/>
  <c r="BX48" i="16"/>
  <c r="BY48" i="16"/>
  <c r="BW8" i="16"/>
  <c r="BX8" i="16"/>
  <c r="BY8" i="16"/>
  <c r="BZ8" i="16"/>
  <c r="BY17" i="16"/>
  <c r="BZ17" i="16"/>
  <c r="BW17" i="16"/>
  <c r="BX17" i="16"/>
  <c r="BW9" i="16"/>
  <c r="BZ9" i="16"/>
  <c r="BX9" i="16"/>
  <c r="BY9" i="16"/>
  <c r="BY30" i="16"/>
  <c r="BZ30" i="16"/>
  <c r="BW30" i="16"/>
  <c r="BX30" i="16"/>
  <c r="BX29" i="16"/>
  <c r="BW29" i="16"/>
  <c r="BY29" i="16"/>
  <c r="BZ29" i="16"/>
  <c r="BW49" i="16"/>
  <c r="BX49" i="16"/>
  <c r="BY49" i="16"/>
  <c r="BZ49" i="16"/>
  <c r="BW19" i="16"/>
  <c r="BY19" i="16"/>
  <c r="BZ19" i="16"/>
  <c r="BX19" i="16"/>
  <c r="BX38" i="16"/>
  <c r="BY38" i="16"/>
  <c r="BZ38" i="16"/>
  <c r="BW38" i="16"/>
  <c r="BX4" i="16"/>
  <c r="BZ4" i="16"/>
  <c r="BY4" i="16"/>
  <c r="BW4" i="16"/>
  <c r="AW5" i="9"/>
  <c r="BL5" i="9" s="1"/>
  <c r="AW9" i="9"/>
  <c r="BL9" i="9" s="1"/>
  <c r="AW13" i="9"/>
  <c r="BL13" i="9" s="1"/>
  <c r="AW17" i="9"/>
  <c r="BL17" i="9" s="1"/>
  <c r="AW21" i="9"/>
  <c r="BL21" i="9" s="1"/>
  <c r="AW25" i="9"/>
  <c r="BL25" i="9" s="1"/>
  <c r="AW29" i="9"/>
  <c r="BL29" i="9" s="1"/>
  <c r="AW33" i="9"/>
  <c r="BL33" i="9" s="1"/>
  <c r="AW37" i="9"/>
  <c r="BL37" i="9" s="1"/>
  <c r="AW41" i="9"/>
  <c r="BL41" i="9" s="1"/>
  <c r="AW45" i="9"/>
  <c r="BL45" i="9" s="1"/>
  <c r="AW49" i="9"/>
  <c r="BL49" i="9" s="1"/>
  <c r="AW53" i="9"/>
  <c r="BL53" i="9" s="1"/>
  <c r="AW8" i="9"/>
  <c r="BL8" i="9" s="1"/>
  <c r="AW12" i="9"/>
  <c r="BL12" i="9" s="1"/>
  <c r="AW16" i="9"/>
  <c r="BL16" i="9" s="1"/>
  <c r="AW20" i="9"/>
  <c r="BL20" i="9" s="1"/>
  <c r="AW24" i="9"/>
  <c r="BL24" i="9" s="1"/>
  <c r="AW28" i="9"/>
  <c r="BL28" i="9" s="1"/>
  <c r="AW32" i="9"/>
  <c r="BL32" i="9" s="1"/>
  <c r="AW36" i="9"/>
  <c r="BL36" i="9" s="1"/>
  <c r="AW40" i="9"/>
  <c r="BL40" i="9" s="1"/>
  <c r="AW44" i="9"/>
  <c r="BL44" i="9" s="1"/>
  <c r="AW48" i="9"/>
  <c r="BL48" i="9" s="1"/>
  <c r="AW52" i="9"/>
  <c r="BL52" i="9" s="1"/>
  <c r="AW54" i="9"/>
  <c r="BL54" i="9" s="1"/>
  <c r="AW50" i="9"/>
  <c r="BL50" i="9" s="1"/>
  <c r="AW43" i="9"/>
  <c r="BL43" i="9" s="1"/>
  <c r="AW46" i="9"/>
  <c r="BL46" i="9" s="1"/>
  <c r="AW6" i="9"/>
  <c r="BL6" i="9" s="1"/>
  <c r="AW30" i="9"/>
  <c r="BL30" i="9" s="1"/>
  <c r="AW47" i="9"/>
  <c r="BL47" i="9" s="1"/>
  <c r="AW7" i="9"/>
  <c r="BL7" i="9" s="1"/>
  <c r="AW15" i="9"/>
  <c r="BL15" i="9" s="1"/>
  <c r="AW23" i="9"/>
  <c r="BL23" i="9" s="1"/>
  <c r="AW31" i="9"/>
  <c r="BL31" i="9" s="1"/>
  <c r="AW39" i="9"/>
  <c r="BL39" i="9" s="1"/>
  <c r="AW14" i="9"/>
  <c r="BL14" i="9" s="1"/>
  <c r="AW38" i="9"/>
  <c r="BL38" i="9" s="1"/>
  <c r="AW51" i="9"/>
  <c r="BL51" i="9" s="1"/>
  <c r="AW11" i="9"/>
  <c r="BL11" i="9" s="1"/>
  <c r="AW19" i="9"/>
  <c r="BL19" i="9" s="1"/>
  <c r="AW27" i="9"/>
  <c r="BL27" i="9" s="1"/>
  <c r="AW35" i="9"/>
  <c r="BL35" i="9" s="1"/>
  <c r="AW10" i="9"/>
  <c r="BL10" i="9" s="1"/>
  <c r="AW18" i="9"/>
  <c r="BL18" i="9" s="1"/>
  <c r="AW26" i="9"/>
  <c r="BL26" i="9" s="1"/>
  <c r="AW34" i="9"/>
  <c r="BL34" i="9" s="1"/>
  <c r="AW42" i="9"/>
  <c r="BL42" i="9" s="1"/>
  <c r="AW22" i="9"/>
  <c r="BL22" i="9" s="1"/>
  <c r="AW4" i="9"/>
  <c r="BL4" i="9" s="1"/>
  <c r="BM46" i="9" l="1"/>
  <c r="BO46" i="9"/>
  <c r="BN46" i="9"/>
  <c r="BP46" i="9"/>
  <c r="BM31" i="9"/>
  <c r="BN31" i="9"/>
  <c r="BO31" i="9"/>
  <c r="BP31" i="9"/>
  <c r="BM23" i="9"/>
  <c r="BN23" i="9"/>
  <c r="BO23" i="9"/>
  <c r="BP23" i="9"/>
  <c r="BM45" i="9"/>
  <c r="BN45" i="9"/>
  <c r="BP45" i="9"/>
  <c r="BO45" i="9"/>
  <c r="BM22" i="9"/>
  <c r="BN22" i="9"/>
  <c r="BO22" i="9"/>
  <c r="BP22" i="9"/>
  <c r="BM15" i="9"/>
  <c r="BN15" i="9"/>
  <c r="BO15" i="9"/>
  <c r="BP15" i="9"/>
  <c r="BM54" i="9"/>
  <c r="BN54" i="9"/>
  <c r="BO54" i="9"/>
  <c r="BP54" i="9"/>
  <c r="BM41" i="9"/>
  <c r="BN41" i="9"/>
  <c r="BO41" i="9"/>
  <c r="BP41" i="9"/>
  <c r="BM9" i="9"/>
  <c r="BP9" i="9"/>
  <c r="BN9" i="9"/>
  <c r="BO9" i="9"/>
  <c r="BM10" i="9"/>
  <c r="BP10" i="9"/>
  <c r="BN10" i="9"/>
  <c r="BO10" i="9"/>
  <c r="BM21" i="9"/>
  <c r="BN21" i="9"/>
  <c r="BP21" i="9"/>
  <c r="BO21" i="9"/>
  <c r="BP4" i="9"/>
  <c r="BM4" i="9"/>
  <c r="BO4" i="9"/>
  <c r="BN4" i="9"/>
  <c r="BM28" i="9"/>
  <c r="BP28" i="9"/>
  <c r="BN28" i="9"/>
  <c r="BO28" i="9"/>
  <c r="BM19" i="9"/>
  <c r="BN19" i="9"/>
  <c r="BO19" i="9"/>
  <c r="BP19" i="9"/>
  <c r="BM52" i="9"/>
  <c r="BN52" i="9"/>
  <c r="BO52" i="9"/>
  <c r="BP52" i="9"/>
  <c r="BM37" i="9"/>
  <c r="BP37" i="9"/>
  <c r="BN37" i="9"/>
  <c r="BO37" i="9"/>
  <c r="BM39" i="9"/>
  <c r="BN39" i="9"/>
  <c r="BO39" i="9"/>
  <c r="BP39" i="9"/>
  <c r="BM32" i="9"/>
  <c r="BO32" i="9"/>
  <c r="BP32" i="9"/>
  <c r="BN32" i="9"/>
  <c r="BM50" i="9"/>
  <c r="BO50" i="9"/>
  <c r="BP50" i="9"/>
  <c r="BN50" i="9"/>
  <c r="BM34" i="9"/>
  <c r="BO34" i="9"/>
  <c r="BN34" i="9"/>
  <c r="BP34" i="9"/>
  <c r="BM47" i="9"/>
  <c r="BN47" i="9"/>
  <c r="BO47" i="9"/>
  <c r="BP47" i="9"/>
  <c r="BM33" i="9"/>
  <c r="BN33" i="9"/>
  <c r="BO33" i="9"/>
  <c r="BP33" i="9"/>
  <c r="BM29" i="9"/>
  <c r="BP29" i="9"/>
  <c r="BN29" i="9"/>
  <c r="BO29" i="9"/>
  <c r="BM53" i="9"/>
  <c r="BN53" i="9"/>
  <c r="BO53" i="9"/>
  <c r="BP53" i="9"/>
  <c r="BM27" i="9"/>
  <c r="BN27" i="9"/>
  <c r="BO27" i="9"/>
  <c r="BP27" i="9"/>
  <c r="BM13" i="9"/>
  <c r="BN13" i="9"/>
  <c r="BP13" i="9"/>
  <c r="BO13" i="9"/>
  <c r="BM51" i="9"/>
  <c r="BN51" i="9"/>
  <c r="BP51" i="9"/>
  <c r="BO51" i="9"/>
  <c r="BM48" i="9"/>
  <c r="BO48" i="9"/>
  <c r="BP48" i="9"/>
  <c r="BN48" i="9"/>
  <c r="BM16" i="9"/>
  <c r="BO16" i="9"/>
  <c r="BP16" i="9"/>
  <c r="BN16" i="9"/>
  <c r="BM18" i="9"/>
  <c r="BP18" i="9"/>
  <c r="BN18" i="9"/>
  <c r="BO18" i="9"/>
  <c r="BM6" i="9"/>
  <c r="BN6" i="9"/>
  <c r="BO6" i="9"/>
  <c r="BP6" i="9"/>
  <c r="BM8" i="9"/>
  <c r="BN8" i="9"/>
  <c r="BO8" i="9"/>
  <c r="BP8" i="9"/>
  <c r="BM43" i="9"/>
  <c r="BP43" i="9"/>
  <c r="BN43" i="9"/>
  <c r="BO43" i="9"/>
  <c r="BM11" i="9"/>
  <c r="BN11" i="9"/>
  <c r="BO11" i="9"/>
  <c r="BP11" i="9"/>
  <c r="BM42" i="9"/>
  <c r="BP42" i="9"/>
  <c r="BN42" i="9"/>
  <c r="BO42" i="9"/>
  <c r="BM20" i="9"/>
  <c r="BO20" i="9"/>
  <c r="BP20" i="9"/>
  <c r="BN20" i="9"/>
  <c r="BM5" i="9"/>
  <c r="BN5" i="9"/>
  <c r="BO5" i="9"/>
  <c r="BP5" i="9"/>
  <c r="BM38" i="9"/>
  <c r="BN38" i="9"/>
  <c r="BO38" i="9"/>
  <c r="BP38" i="9"/>
  <c r="BM35" i="9"/>
  <c r="BN35" i="9"/>
  <c r="BP35" i="9"/>
  <c r="BO35" i="9"/>
  <c r="BM12" i="9"/>
  <c r="BP12" i="9"/>
  <c r="BN12" i="9"/>
  <c r="BO12" i="9"/>
  <c r="BM44" i="9"/>
  <c r="BN44" i="9"/>
  <c r="BP44" i="9"/>
  <c r="BO44" i="9"/>
  <c r="BM30" i="9"/>
  <c r="BN30" i="9"/>
  <c r="BO30" i="9"/>
  <c r="BP30" i="9"/>
  <c r="BM36" i="9"/>
  <c r="BN36" i="9"/>
  <c r="BO36" i="9"/>
  <c r="BP36" i="9"/>
  <c r="BM24" i="9"/>
  <c r="BN24" i="9"/>
  <c r="BP24" i="9"/>
  <c r="BO24" i="9"/>
  <c r="BM49" i="9"/>
  <c r="BP49" i="9"/>
  <c r="BN49" i="9"/>
  <c r="BO49" i="9"/>
  <c r="BM14" i="9"/>
  <c r="BN14" i="9"/>
  <c r="BO14" i="9"/>
  <c r="BP14" i="9"/>
  <c r="BM26" i="9"/>
  <c r="BP26" i="9"/>
  <c r="BN26" i="9"/>
  <c r="BO26" i="9"/>
  <c r="BM25" i="9"/>
  <c r="BN25" i="9"/>
  <c r="BO25" i="9"/>
  <c r="BP25" i="9"/>
  <c r="BM7" i="9"/>
  <c r="BN7" i="9"/>
  <c r="BP7" i="9"/>
  <c r="BO7" i="9"/>
  <c r="BM17" i="9"/>
  <c r="BN17" i="9"/>
  <c r="BP17" i="9"/>
  <c r="BO17" i="9"/>
  <c r="BM40" i="9"/>
  <c r="BO40" i="9"/>
  <c r="BP40" i="9"/>
  <c r="BN40" i="9"/>
</calcChain>
</file>

<file path=xl/comments1.xml><?xml version="1.0" encoding="utf-8"?>
<comments xmlns="http://schemas.openxmlformats.org/spreadsheetml/2006/main">
  <authors>
    <author>PPD-NPS</author>
  </authors>
  <commentList>
    <comment ref="A4" authorId="0">
      <text>
        <r>
          <rPr>
            <b/>
            <sz val="9"/>
            <color indexed="81"/>
            <rFont val="Tahoma"/>
            <family val="2"/>
          </rPr>
          <t>Below are the Parameters for the input specifications of the design</t>
        </r>
      </text>
    </comment>
    <comment ref="B9" authorId="0">
      <text>
        <r>
          <rPr>
            <sz val="9"/>
            <color indexed="81"/>
            <rFont val="Tahoma"/>
            <family val="2"/>
          </rPr>
          <t>This is the estimate efficiency of the converter. A good starting point is 90%</t>
        </r>
      </text>
    </comment>
    <comment ref="B10" authorId="0">
      <text>
        <r>
          <rPr>
            <sz val="9"/>
            <color indexed="81"/>
            <rFont val="Tahoma"/>
            <family val="2"/>
          </rPr>
          <t xml:space="preserve">This is the designed for Maximum Duty Cycle. It is recommended to keep this at or below </t>
        </r>
        <r>
          <rPr>
            <b/>
            <sz val="9"/>
            <color indexed="81"/>
            <rFont val="Tahoma"/>
            <family val="2"/>
          </rPr>
          <t xml:space="preserve">50% </t>
        </r>
        <r>
          <rPr>
            <sz val="9"/>
            <color indexed="81"/>
            <rFont val="Tahoma"/>
            <family val="2"/>
          </rPr>
          <t xml:space="preserve">for a few reasons.
1. Fly-Buck and Fly-Buck-Boost it allows for better output regulation due to having enough commutation time to transfer power to the secondary
2. Flyback it keeps the RHP Zero of the plant at a higher frequency making it easier to design the compensation network. Also makes sub-harmonic oscillation less likely to occur
</t>
        </r>
      </text>
    </comment>
    <comment ref="B11" authorId="0">
      <text>
        <r>
          <rPr>
            <sz val="9"/>
            <color indexed="81"/>
            <rFont val="Tahoma"/>
            <family val="2"/>
          </rPr>
          <t xml:space="preserve">This is the ripple ratio for the primary inductance current relative to the average on-time current. </t>
        </r>
        <r>
          <rPr>
            <b/>
            <sz val="9"/>
            <color indexed="81"/>
            <rFont val="Tahoma"/>
            <family val="2"/>
          </rPr>
          <t>A good value is between 20% and 50% ripple.</t>
        </r>
        <r>
          <rPr>
            <sz val="9"/>
            <color indexed="81"/>
            <rFont val="Tahoma"/>
            <family val="2"/>
          </rPr>
          <t xml:space="preserve">
This will effect the size of the transformer. Also with Higher ripple core losses begin to dominate. While at smaller ripple the DCR of the windings is large because on the number of windings needed. The goal is to select a ripple ratio that minimizes both core losses and winding losses. For most designs this can be done with the above mentioned ranged.
</t>
        </r>
      </text>
    </comment>
    <comment ref="A13" authorId="0">
      <text>
        <r>
          <rPr>
            <b/>
            <sz val="9"/>
            <color indexed="81"/>
            <rFont val="Tahoma"/>
            <family val="2"/>
          </rPr>
          <t>The below parameters are specifications for the output voltage rails</t>
        </r>
        <r>
          <rPr>
            <sz val="9"/>
            <color indexed="81"/>
            <rFont val="Tahoma"/>
            <family val="2"/>
          </rPr>
          <t xml:space="preserve">
</t>
        </r>
      </text>
    </comment>
    <comment ref="A14" authorId="0">
      <text>
        <r>
          <rPr>
            <b/>
            <sz val="9"/>
            <color indexed="81"/>
            <rFont val="Tahoma"/>
            <family val="2"/>
          </rPr>
          <t>These are the design parameters for the non-isolated rails</t>
        </r>
      </text>
    </comment>
    <comment ref="A16" authorId="0">
      <text>
        <r>
          <rPr>
            <sz val="9"/>
            <color indexed="81"/>
            <rFont val="Tahoma"/>
            <family val="2"/>
          </rPr>
          <t xml:space="preserve">This is the suggested Non-Isolated rail output voltage. Which is based on the provided maximum duty cycle spec. The actual output voltage can be changed it increase the maximum output power. (As a general rule of thumb: the higher the primary Vout the more power the Fly-Buck and handle without current limiting)
</t>
        </r>
      </text>
    </comment>
    <comment ref="A21" authorId="0">
      <text>
        <r>
          <rPr>
            <sz val="9"/>
            <color indexed="81"/>
            <rFont val="Tahoma"/>
            <family val="2"/>
          </rPr>
          <t>This is the suggested Non-Isolated rail output voltage. Which is based on the provided maximum duty cycle spec. The actual output voltage can be changed it increase the maximum output power. (As a general rule of thumb: the higher magnitude of the primary Vout the more power the Fly-Buck-Boost and handle without current limiting)</t>
        </r>
      </text>
    </comment>
    <comment ref="A26" authorId="0">
      <text>
        <r>
          <rPr>
            <sz val="9"/>
            <color indexed="81"/>
            <rFont val="Tahoma"/>
            <family val="2"/>
          </rPr>
          <t xml:space="preserve">This is the AUX winding for the Flyback design. This can be used to replace the VCC rail for the IC reducing the power dissipation of the IC.
It can also be used for Primary Side Regulation (PSR). Due to leakage inductance of the transformer, regulation of the secondary Isolated outputs will decrease as compared to an isolated feed back method.
</t>
        </r>
      </text>
    </comment>
    <comment ref="A30" authorId="0">
      <text>
        <r>
          <rPr>
            <b/>
            <sz val="9"/>
            <color indexed="81"/>
            <rFont val="Tahoma"/>
            <family val="2"/>
          </rPr>
          <t>These are the design Parameters for the isolated output rails</t>
        </r>
        <r>
          <rPr>
            <sz val="9"/>
            <color indexed="81"/>
            <rFont val="Tahoma"/>
            <family val="2"/>
          </rPr>
          <t xml:space="preserve">
</t>
        </r>
      </text>
    </comment>
    <comment ref="A31" authorId="0">
      <text>
        <r>
          <rPr>
            <sz val="9"/>
            <color indexed="81"/>
            <rFont val="Tahoma"/>
            <family val="2"/>
          </rPr>
          <t xml:space="preserve">
First Isolated Output (VOUT1): 
This can be either a positive or negative number
For Flyback designs this will be considered the master phase and all dependent calculations will be based off of this value.</t>
        </r>
      </text>
    </comment>
    <comment ref="A36" authorId="0">
      <text>
        <r>
          <rPr>
            <sz val="9"/>
            <color indexed="81"/>
            <rFont val="Tahoma"/>
            <family val="2"/>
          </rPr>
          <t>Second Isolated Output Parameters</t>
        </r>
      </text>
    </comment>
    <comment ref="A41" authorId="0">
      <text>
        <r>
          <rPr>
            <sz val="9"/>
            <color indexed="81"/>
            <rFont val="Tahoma"/>
            <family val="2"/>
          </rPr>
          <t>Third Isolated Output Parameters</t>
        </r>
      </text>
    </comment>
    <comment ref="A46" authorId="0">
      <text>
        <r>
          <rPr>
            <sz val="9"/>
            <color indexed="81"/>
            <rFont val="Tahoma"/>
            <family val="2"/>
          </rPr>
          <t>Fourth Isolated Output Parameters</t>
        </r>
      </text>
    </comment>
    <comment ref="A51" authorId="0">
      <text>
        <r>
          <rPr>
            <sz val="9"/>
            <color indexed="81"/>
            <rFont val="Tahoma"/>
            <family val="2"/>
          </rPr>
          <t>Fifth Isolated Output Parameters</t>
        </r>
      </text>
    </comment>
    <comment ref="A56" authorId="0">
      <text>
        <r>
          <rPr>
            <sz val="9"/>
            <color indexed="81"/>
            <rFont val="Tahoma"/>
            <family val="2"/>
          </rPr>
          <t>Sixth Isolated Output Parameters</t>
        </r>
      </text>
    </comment>
    <comment ref="A66" authorId="0">
      <text>
        <r>
          <rPr>
            <sz val="9"/>
            <color indexed="81"/>
            <rFont val="Tahoma"/>
            <family val="2"/>
          </rPr>
          <t>These are possible solutions for the input parameters above. It has been calculated that each there is at least on IC covered in this worksheet that can handle the output power, input voltage and switching frequency</t>
        </r>
        <r>
          <rPr>
            <b/>
            <sz val="9"/>
            <color indexed="81"/>
            <rFont val="Tahoma"/>
            <family val="2"/>
          </rPr>
          <t xml:space="preserve">
Note: </t>
        </r>
        <r>
          <rPr>
            <sz val="9"/>
            <color indexed="81"/>
            <rFont val="Tahoma"/>
            <family val="2"/>
          </rPr>
          <t>The any of these topologies maybe possible just not for the selected parts for this comparison worksheet.</t>
        </r>
      </text>
    </comment>
    <comment ref="D76" authorId="0">
      <text>
        <r>
          <rPr>
            <sz val="9"/>
            <color indexed="81"/>
            <rFont val="Tahoma"/>
            <family val="2"/>
          </rPr>
          <t>This is the suggested number of external components to the IC needed to insure reliable operation. The more external component the higher the cost and the larger the total solution size</t>
        </r>
      </text>
    </comment>
    <comment ref="E76" authorId="0">
      <text>
        <r>
          <rPr>
            <sz val="9"/>
            <color indexed="81"/>
            <rFont val="Tahoma"/>
            <family val="2"/>
          </rPr>
          <t xml:space="preserve">This is a relative ranking of the design solution costs. It includes IC and external components. The more '$' signs the more expensive it is with respect to the most expensive solution selected in the design procedure
</t>
        </r>
      </text>
    </comment>
  </commentList>
</comments>
</file>

<file path=xl/comments10.xml><?xml version="1.0" encoding="utf-8"?>
<comments xmlns="http://schemas.openxmlformats.org/spreadsheetml/2006/main">
  <authors>
    <author>PPD-NPS</author>
  </authors>
  <commentList>
    <comment ref="A15" authorId="0">
      <text>
        <r>
          <rPr>
            <sz val="9"/>
            <color indexed="81"/>
            <rFont val="Tahoma"/>
            <family val="2"/>
          </rPr>
          <t xml:space="preserve">This is the window fill factor with windings. Typical values range between .2 and .65. Ku must be between 0 and 1.
</t>
        </r>
      </text>
    </comment>
    <comment ref="A16" authorId="0">
      <text>
        <r>
          <rPr>
            <sz val="9"/>
            <color indexed="81"/>
            <rFont val="Tahoma"/>
            <family val="2"/>
          </rPr>
          <t>For these low power levels the Power loss should be &lt;&lt;1W</t>
        </r>
      </text>
    </comment>
    <comment ref="A47" authorId="0">
      <text>
        <r>
          <rPr>
            <sz val="9"/>
            <color indexed="81"/>
            <rFont val="Tahoma"/>
            <family val="2"/>
          </rPr>
          <t xml:space="preserve">This is the window fill factor with windings. Typical values range between .2 and .65. Ku must be between 0 and 1. This will affect the over all size of the core
</t>
        </r>
      </text>
    </comment>
    <comment ref="A48" authorId="0">
      <text>
        <r>
          <rPr>
            <sz val="9"/>
            <color indexed="81"/>
            <rFont val="Tahoma"/>
            <family val="2"/>
          </rPr>
          <t>These are the desired copper losses. To maxize effciecny copper losses and core losses should be equal.
For these low power levels the Power loss should be &lt;&lt;1W.</t>
        </r>
      </text>
    </comment>
    <comment ref="A49" authorId="0">
      <text>
        <r>
          <rPr>
            <sz val="9"/>
            <color indexed="81"/>
            <rFont val="Tahoma"/>
            <family val="2"/>
          </rPr>
          <t>This is the maximum flux density that the core will be designed for. Note that the core material will have a maximum limit that should not be exceeded. For ferrite cores this is usually around 300mT</t>
        </r>
      </text>
    </comment>
    <comment ref="A50" authorId="0">
      <text>
        <r>
          <rPr>
            <sz val="9"/>
            <color indexed="81"/>
            <rFont val="Tahoma"/>
            <family val="2"/>
          </rPr>
          <t>This is a parameter used to suggest the given core size for the above parameters. The greater this number the larger the core size</t>
        </r>
      </text>
    </comment>
    <comment ref="A86" authorId="0">
      <text>
        <r>
          <rPr>
            <sz val="9"/>
            <color indexed="81"/>
            <rFont val="Tahoma"/>
            <family val="2"/>
          </rPr>
          <t xml:space="preserve">This is the window fill factor with windings. Typical values range between .2 and .65. Ku must be between 0 and 1.
</t>
        </r>
      </text>
    </comment>
    <comment ref="A87" authorId="0">
      <text>
        <r>
          <rPr>
            <sz val="9"/>
            <color indexed="81"/>
            <rFont val="Tahoma"/>
            <family val="2"/>
          </rPr>
          <t>For these low power levels the Power loss should be &lt;&lt;1W</t>
        </r>
      </text>
    </comment>
    <comment ref="A108" authorId="0">
      <text>
        <r>
          <rPr>
            <sz val="9"/>
            <color indexed="81"/>
            <rFont val="Tahoma"/>
            <family val="2"/>
          </rPr>
          <t>This is the surface area the winding will take up of the window area</t>
        </r>
      </text>
    </comment>
    <comment ref="A123" authorId="0">
      <text>
        <r>
          <rPr>
            <sz val="9"/>
            <color indexed="81"/>
            <rFont val="Tahoma"/>
            <family val="2"/>
          </rPr>
          <t xml:space="preserve">This is the window fill factor with windings. Typical values range between .2 and .65. Ku must be between 0 and 1.
</t>
        </r>
      </text>
    </comment>
    <comment ref="A124" authorId="0">
      <text>
        <r>
          <rPr>
            <sz val="9"/>
            <color indexed="81"/>
            <rFont val="Tahoma"/>
            <family val="2"/>
          </rPr>
          <t>For these low power levels the Power loss should be &lt;&lt;1W</t>
        </r>
      </text>
    </comment>
  </commentList>
</comments>
</file>

<file path=xl/comments11.xml><?xml version="1.0" encoding="utf-8"?>
<comments xmlns="http://schemas.openxmlformats.org/spreadsheetml/2006/main">
  <authors>
    <author>PPD-NPS</author>
  </authors>
  <commentList>
    <comment ref="K1" authorId="0">
      <text>
        <r>
          <rPr>
            <b/>
            <sz val="9"/>
            <color indexed="81"/>
            <rFont val="Tahoma"/>
            <family val="2"/>
          </rPr>
          <t>PPD-NPS:</t>
        </r>
        <r>
          <rPr>
            <sz val="9"/>
            <color indexed="81"/>
            <rFont val="Tahoma"/>
            <family val="2"/>
          </rPr>
          <t xml:space="preserve">
These still need to be nailed down it seems like the equations aren't correct</t>
        </r>
      </text>
    </comment>
  </commentList>
</comments>
</file>

<file path=xl/comments12.xml><?xml version="1.0" encoding="utf-8"?>
<comments xmlns="http://schemas.openxmlformats.org/spreadsheetml/2006/main">
  <authors>
    <author>PPD-NPS</author>
  </authors>
  <commentList>
    <comment ref="C3" authorId="0">
      <text>
        <r>
          <rPr>
            <sz val="9"/>
            <color indexed="81"/>
            <rFont val="Tahoma"/>
            <family val="2"/>
          </rPr>
          <t>Topology
1-Fly-Buck/Fly-Buck-Boost
2-Flyback</t>
        </r>
      </text>
    </comment>
    <comment ref="G3" authorId="0">
      <text>
        <r>
          <rPr>
            <b/>
            <sz val="9"/>
            <color indexed="81"/>
            <rFont val="Tahoma"/>
            <family val="2"/>
          </rPr>
          <t xml:space="preserve">Rated Input Voltage for Fly-Buck-Boost
</t>
        </r>
        <r>
          <rPr>
            <sz val="9"/>
            <color indexed="81"/>
            <rFont val="Tahoma"/>
            <family val="2"/>
          </rPr>
          <t>This will depend on the selected primary voltage</t>
        </r>
      </text>
    </comment>
    <comment ref="L3" authorId="0">
      <text>
        <r>
          <rPr>
            <b/>
            <sz val="9"/>
            <color indexed="81"/>
            <rFont val="Tahoma"/>
            <family val="2"/>
          </rPr>
          <t xml:space="preserve">K
</t>
        </r>
        <r>
          <rPr>
            <sz val="9"/>
            <color indexed="81"/>
            <rFont val="Tahoma"/>
            <family val="2"/>
          </rPr>
          <t>This is the coefficient used to calculate the Ron resistor of COT parts.</t>
        </r>
      </text>
    </comment>
    <comment ref="S3" authorId="0">
      <text>
        <r>
          <rPr>
            <b/>
            <sz val="9"/>
            <color indexed="81"/>
            <rFont val="Tahoma"/>
            <family val="2"/>
          </rPr>
          <t xml:space="preserve">External FETs
</t>
        </r>
      </text>
    </comment>
    <comment ref="AA3" authorId="0">
      <text>
        <r>
          <rPr>
            <b/>
            <sz val="9"/>
            <color indexed="81"/>
            <rFont val="Tahoma"/>
            <family val="2"/>
          </rPr>
          <t xml:space="preserve">Use this for calculations to ensure that Current Limit isn't hit
</t>
        </r>
      </text>
    </comment>
    <comment ref="AC3" authorId="0">
      <text>
        <r>
          <rPr>
            <sz val="9"/>
            <color indexed="81"/>
            <rFont val="Tahoma"/>
            <family val="2"/>
          </rPr>
          <t>This will need to be set for the COT parts depending on the switching frequency</t>
        </r>
      </text>
    </comment>
    <comment ref="AD3" authorId="0">
      <text>
        <r>
          <rPr>
            <sz val="9"/>
            <color indexed="81"/>
            <rFont val="Tahoma"/>
            <family val="2"/>
          </rPr>
          <t>1: Ripple Injection for COT
2. Error Amp/Opto Couple
3. Opto Only</t>
        </r>
      </text>
    </comment>
    <comment ref="AF3" authorId="0">
      <text>
        <r>
          <rPr>
            <sz val="9"/>
            <color indexed="81"/>
            <rFont val="Tahoma"/>
            <family val="2"/>
          </rPr>
          <t xml:space="preserve">Type 1: Ripple Cap
Type 2: Zero Cap
</t>
        </r>
      </text>
    </comment>
    <comment ref="AG3" authorId="0">
      <text>
        <r>
          <rPr>
            <sz val="9"/>
            <color indexed="81"/>
            <rFont val="Tahoma"/>
            <family val="2"/>
          </rPr>
          <t>Type 1: AC Couple Cap
Type 2: Pole Cap Cap</t>
        </r>
      </text>
    </comment>
    <comment ref="B4" authorId="0">
      <text>
        <r>
          <rPr>
            <b/>
            <sz val="9"/>
            <color indexed="81"/>
            <rFont val="Tahoma"/>
            <family val="2"/>
          </rPr>
          <t>PPD-NPS:</t>
        </r>
        <r>
          <rPr>
            <sz val="9"/>
            <color indexed="81"/>
            <rFont val="Tahoma"/>
            <family val="2"/>
          </rPr>
          <t xml:space="preserve">
</t>
        </r>
      </text>
    </comment>
    <comment ref="D4" authorId="0">
      <text>
        <r>
          <rPr>
            <b/>
            <sz val="9"/>
            <color indexed="81"/>
            <rFont val="Tahoma"/>
            <family val="2"/>
          </rPr>
          <t xml:space="preserve">VIN MIN LIMIT
</t>
        </r>
        <r>
          <rPr>
            <sz val="9"/>
            <color indexed="81"/>
            <rFont val="Tahoma"/>
            <family val="2"/>
          </rPr>
          <t>This is low because there is a 2.5V drop on the VCC LDO</t>
        </r>
      </text>
    </comment>
    <comment ref="N8" authorId="0">
      <text>
        <r>
          <rPr>
            <sz val="9"/>
            <color indexed="81"/>
            <rFont val="Tahoma"/>
            <family val="2"/>
          </rPr>
          <t>Note: This is with the -1 device. -2 device will only have 50% duty cycle max.</t>
        </r>
      </text>
    </comment>
    <comment ref="H9" authorId="0">
      <text>
        <r>
          <rPr>
            <sz val="9"/>
            <color indexed="81"/>
            <rFont val="Tahoma"/>
            <family val="2"/>
          </rPr>
          <t>LM5021 will only work in an opto coupler setup.
No internal error amp</t>
        </r>
      </text>
    </comment>
    <comment ref="BE10"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1" authorId="0">
      <text>
        <r>
          <rPr>
            <sz val="9"/>
            <color indexed="81"/>
            <rFont val="Tahoma"/>
            <family val="2"/>
          </rPr>
          <t>This is the spec'd gate charge need to switch to gate capacitance</t>
        </r>
      </text>
    </comment>
    <comment ref="BF11" authorId="0">
      <text>
        <r>
          <rPr>
            <b/>
            <sz val="9"/>
            <color indexed="81"/>
            <rFont val="Tahoma"/>
            <family val="2"/>
          </rPr>
          <t>PPD-NPS:</t>
        </r>
        <r>
          <rPr>
            <sz val="9"/>
            <color indexed="81"/>
            <rFont val="Tahoma"/>
            <family val="2"/>
          </rPr>
          <t xml:space="preserve">
Current Sense value is scaled down by .7  before the slope compe is added in</t>
        </r>
      </text>
    </comment>
    <comment ref="BE12" authorId="0">
      <text>
        <r>
          <rPr>
            <b/>
            <sz val="9"/>
            <color indexed="81"/>
            <rFont val="Tahoma"/>
            <family val="2"/>
          </rPr>
          <t>PPD-NPS:</t>
        </r>
        <r>
          <rPr>
            <sz val="9"/>
            <color indexed="81"/>
            <rFont val="Tahoma"/>
            <family val="2"/>
          </rPr>
          <t xml:space="preserve">
Need to make these values reflect the compnesation pick of opto or primary side</t>
        </r>
      </text>
    </comment>
    <comment ref="A13" authorId="0">
      <text>
        <r>
          <rPr>
            <b/>
            <sz val="9"/>
            <color indexed="81"/>
            <rFont val="Tahoma"/>
            <family val="2"/>
          </rPr>
          <t>PPD-NPS:</t>
        </r>
        <r>
          <rPr>
            <sz val="9"/>
            <color indexed="81"/>
            <rFont val="Tahoma"/>
            <family val="2"/>
          </rPr>
          <t xml:space="preserve">
These are DCM Parts. Due to MOSFET Selection</t>
        </r>
      </text>
    </comment>
    <comment ref="N13" authorId="0">
      <text>
        <r>
          <rPr>
            <sz val="9"/>
            <color indexed="81"/>
            <rFont val="Tahoma"/>
            <family val="2"/>
          </rPr>
          <t>Note: This is with the -1 device. -2 device will only have 50% duty cycle max.</t>
        </r>
      </text>
    </comment>
    <comment ref="B14" authorId="0">
      <text>
        <r>
          <rPr>
            <b/>
            <sz val="9"/>
            <color indexed="81"/>
            <rFont val="Tahoma"/>
            <family val="2"/>
          </rPr>
          <t>PPD-NPS:</t>
        </r>
        <r>
          <rPr>
            <sz val="9"/>
            <color indexed="81"/>
            <rFont val="Tahoma"/>
            <family val="2"/>
          </rPr>
          <t xml:space="preserve">
This part must be used with isolated feed back only. It does not have an internal error armp</t>
        </r>
      </text>
    </comment>
    <comment ref="H14" authorId="0">
      <text>
        <r>
          <rPr>
            <sz val="9"/>
            <color indexed="81"/>
            <rFont val="Tahoma"/>
            <family val="2"/>
          </rPr>
          <t>LM5021 will only work in an opto coupler setup.
No internal error amp</t>
        </r>
      </text>
    </comment>
    <comment ref="BE15"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6" authorId="0">
      <text>
        <r>
          <rPr>
            <sz val="9"/>
            <color indexed="81"/>
            <rFont val="Tahoma"/>
            <family val="2"/>
          </rPr>
          <t>This is the spec'd gate charge need to switch to gate capacitance</t>
        </r>
      </text>
    </comment>
    <comment ref="BF16" authorId="0">
      <text>
        <r>
          <rPr>
            <b/>
            <sz val="9"/>
            <color indexed="81"/>
            <rFont val="Tahoma"/>
            <family val="2"/>
          </rPr>
          <t>PPD-NPS:</t>
        </r>
        <r>
          <rPr>
            <sz val="9"/>
            <color indexed="81"/>
            <rFont val="Tahoma"/>
            <family val="2"/>
          </rPr>
          <t xml:space="preserve">
Current Sense value is scaled down by .7  before the slope compe is added in</t>
        </r>
      </text>
    </comment>
    <comment ref="W17" authorId="0">
      <text>
        <r>
          <rPr>
            <sz val="9"/>
            <color indexed="81"/>
            <rFont val="Tahoma"/>
            <family val="2"/>
          </rPr>
          <t>This is the spec'd gate charge need to switch to gate capacitance</t>
        </r>
      </text>
    </comment>
    <comment ref="BF17" authorId="0">
      <text>
        <r>
          <rPr>
            <b/>
            <sz val="9"/>
            <color indexed="81"/>
            <rFont val="Tahoma"/>
            <family val="2"/>
          </rPr>
          <t>PPD-NPS:</t>
        </r>
        <r>
          <rPr>
            <sz val="9"/>
            <color indexed="81"/>
            <rFont val="Tahoma"/>
            <family val="2"/>
          </rPr>
          <t xml:space="preserve">
Current Sense value is scaled down by .7  before the slope compe is added in</t>
        </r>
      </text>
    </comment>
  </commentList>
</comments>
</file>

<file path=xl/comments13.xml><?xml version="1.0" encoding="utf-8"?>
<comments xmlns="http://schemas.openxmlformats.org/spreadsheetml/2006/main">
  <authors>
    <author>PPD-NPS</author>
  </authors>
  <commentList>
    <comment ref="B2" authorId="0">
      <text>
        <r>
          <rPr>
            <b/>
            <sz val="9"/>
            <color indexed="81"/>
            <rFont val="Tahoma"/>
            <family val="2"/>
          </rPr>
          <t xml:space="preserve">GWR:
</t>
        </r>
        <r>
          <rPr>
            <sz val="9"/>
            <color indexed="81"/>
            <rFont val="Tahoma"/>
            <family val="2"/>
          </rPr>
          <t>This was created using forumlas fron Vijay Chowdary at TI PDC. I modified the code to make curves from both modes for operation</t>
        </r>
      </text>
    </comment>
  </commentList>
</comments>
</file>

<file path=xl/comments2.xml><?xml version="1.0" encoding="utf-8"?>
<comments xmlns="http://schemas.openxmlformats.org/spreadsheetml/2006/main">
  <authors>
    <author>PPD-NPS</author>
  </authors>
  <commentList>
    <comment ref="A14" authorId="0">
      <text>
        <r>
          <rPr>
            <sz val="9"/>
            <color indexed="81"/>
            <rFont val="Tahoma"/>
            <family val="2"/>
          </rPr>
          <t xml:space="preserve">This is the Ns/Np ratio
</t>
        </r>
      </text>
    </comment>
    <comment ref="A25" authorId="0">
      <text>
        <r>
          <rPr>
            <sz val="9"/>
            <color indexed="81"/>
            <rFont val="Tahoma"/>
            <family val="2"/>
          </rPr>
          <t>The value will come help decided the compensation network for COT parts. 
These values are for efficiency calculations if transformer is not used.</t>
        </r>
      </text>
    </comment>
    <comment ref="A128" authorId="0">
      <text>
        <r>
          <rPr>
            <sz val="9"/>
            <color indexed="81"/>
            <rFont val="Tahoma"/>
            <family val="2"/>
          </rPr>
          <t xml:space="preserve">Cac &gt;&gt; Cr for proper operation.
Typically this value is acceptable for the AC coupling capacitor. </t>
        </r>
      </text>
    </comment>
    <comment ref="A133"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3.xml><?xml version="1.0" encoding="utf-8"?>
<comments xmlns="http://schemas.openxmlformats.org/spreadsheetml/2006/main">
  <authors>
    <author>PPD-NPS</author>
  </authors>
  <commentList>
    <comment ref="X3" authorId="0">
      <text>
        <r>
          <rPr>
            <b/>
            <sz val="9"/>
            <color indexed="81"/>
            <rFont val="Tahoma"/>
            <family val="2"/>
          </rPr>
          <t>PPD-NPS:</t>
        </r>
        <r>
          <rPr>
            <sz val="9"/>
            <color indexed="81"/>
            <rFont val="Tahoma"/>
            <family val="2"/>
          </rPr>
          <t xml:space="preserve">
This is the current pulse during the off time only</t>
        </r>
      </text>
    </commen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E25" authorId="0">
      <text>
        <r>
          <rPr>
            <sz val="9"/>
            <color indexed="81"/>
            <rFont val="Tahoma"/>
            <family val="2"/>
          </rPr>
          <t>Based on Ripple Ratio Calculation</t>
        </r>
      </text>
    </comment>
    <comment ref="B26" authorId="0">
      <text>
        <r>
          <rPr>
            <sz val="9"/>
            <color indexed="81"/>
            <rFont val="Tahoma"/>
            <family val="2"/>
          </rPr>
          <t>This is at full Load</t>
        </r>
      </text>
    </comment>
    <comment ref="A39" authorId="0">
      <text>
        <r>
          <rPr>
            <b/>
            <sz val="9"/>
            <color indexed="81"/>
            <rFont val="Tahoma"/>
            <family val="2"/>
          </rPr>
          <t>PPD-NPS:</t>
        </r>
        <r>
          <rPr>
            <sz val="9"/>
            <color indexed="81"/>
            <rFont val="Tahoma"/>
            <family val="2"/>
          </rPr>
          <t xml:space="preserve">
These are calculated fot the Worst Case: Max Load, Maximum On time (Vin_Min)
</t>
        </r>
      </text>
    </comment>
    <comment ref="B61" authorId="0">
      <text>
        <r>
          <rPr>
            <b/>
            <sz val="9"/>
            <color indexed="81"/>
            <rFont val="Tahoma"/>
            <family val="2"/>
          </rPr>
          <t>PPD-NPS:</t>
        </r>
        <r>
          <rPr>
            <sz val="9"/>
            <color indexed="81"/>
            <rFont val="Tahoma"/>
            <family val="2"/>
          </rPr>
          <t xml:space="preserve">
This is due to the nature of the buck and Buck-Boost Topology.
The body diode of the high-side FET clamps to VIN </t>
        </r>
      </text>
    </comment>
    <comment ref="A91" authorId="0">
      <text>
        <r>
          <rPr>
            <b/>
            <sz val="9"/>
            <color indexed="81"/>
            <rFont val="Tahoma"/>
            <family val="2"/>
          </rPr>
          <t xml:space="preserve">This if for the LM5160 which is the highest power COT that can be used for Fly-Buck
</t>
        </r>
      </text>
    </comment>
    <comment ref="A94" authorId="0">
      <text>
        <r>
          <rPr>
            <sz val="9"/>
            <color indexed="81"/>
            <rFont val="Tahoma"/>
            <family val="2"/>
          </rPr>
          <t xml:space="preserve">This is the reference Voltage of the part
</t>
        </r>
      </text>
    </comment>
    <comment ref="A99" authorId="0">
      <text>
        <r>
          <rPr>
            <b/>
            <sz val="9"/>
            <color indexed="81"/>
            <rFont val="Tahoma"/>
            <family val="2"/>
          </rPr>
          <t xml:space="preserve">This if for the LM5160 which is the highest power COT that can be used for Fly-Buck
</t>
        </r>
      </text>
    </comment>
    <comment ref="A102" authorId="0">
      <text>
        <r>
          <rPr>
            <sz val="9"/>
            <color indexed="81"/>
            <rFont val="Tahoma"/>
            <family val="2"/>
          </rPr>
          <t xml:space="preserve">This is the reference Voltage of the part
</t>
        </r>
      </text>
    </comment>
    <comment ref="A107" authorId="0">
      <text>
        <r>
          <rPr>
            <b/>
            <sz val="9"/>
            <color indexed="81"/>
            <rFont val="Tahoma"/>
            <family val="2"/>
          </rPr>
          <t xml:space="preserve">This if for the LM5160 which is the highest power COT that can be used for Fly-Buck
</t>
        </r>
      </text>
    </comment>
    <comment ref="A110" authorId="0">
      <text>
        <r>
          <rPr>
            <sz val="9"/>
            <color indexed="81"/>
            <rFont val="Tahoma"/>
            <family val="2"/>
          </rPr>
          <t xml:space="preserve">This is the reference Voltage of the part
</t>
        </r>
      </text>
    </comment>
    <comment ref="A115" authorId="0">
      <text>
        <r>
          <rPr>
            <b/>
            <sz val="9"/>
            <color indexed="81"/>
            <rFont val="Tahoma"/>
            <family val="2"/>
          </rPr>
          <t xml:space="preserve">This if for the LM5160 which is the highest power COT that can be used for Fly-Buck
</t>
        </r>
      </text>
    </comment>
    <comment ref="A118" authorId="0">
      <text>
        <r>
          <rPr>
            <sz val="9"/>
            <color indexed="81"/>
            <rFont val="Tahoma"/>
            <family val="2"/>
          </rPr>
          <t xml:space="preserve">This is the reference Voltage of the part
</t>
        </r>
      </text>
    </comment>
  </commentList>
</comments>
</file>

<file path=xl/comments4.xml><?xml version="1.0" encoding="utf-8"?>
<comments xmlns="http://schemas.openxmlformats.org/spreadsheetml/2006/main">
  <authors>
    <author>PPD-NPS</author>
  </authors>
  <commentList>
    <comment ref="A124" authorId="0">
      <text>
        <r>
          <rPr>
            <sz val="9"/>
            <color indexed="81"/>
            <rFont val="Tahoma"/>
            <family val="2"/>
          </rPr>
          <t xml:space="preserve">Cac &gt;&gt; Cr for proper operation.
Typically this value is acceptable for the AC coupling capacitor. </t>
        </r>
      </text>
    </comment>
    <comment ref="A129"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5.xml><?xml version="1.0" encoding="utf-8"?>
<comments xmlns="http://schemas.openxmlformats.org/spreadsheetml/2006/main">
  <authors>
    <author>PPD-NPS</author>
  </authors>
  <commentList>
    <comment ref="B16" authorId="0">
      <text>
        <r>
          <rPr>
            <sz val="9"/>
            <color indexed="81"/>
            <rFont val="Tahoma"/>
            <family val="2"/>
          </rPr>
          <t>Master Output will determine the rest or the output winding ratios</t>
        </r>
      </text>
    </comment>
    <comment ref="A28" authorId="0">
      <text>
        <r>
          <rPr>
            <sz val="9"/>
            <color indexed="81"/>
            <rFont val="Tahoma"/>
            <family val="2"/>
          </rPr>
          <t>This is the leakage inductance of the transformer primary winding. This is inductance that stores energy that is not transferred to the secondary side and can be a major obstacle in the design process by affecting everything from efficiency (need an extra clamp circuit) to load and line regulation. A good place to model the leakage inductance is about 10% of the primary winding inductance value</t>
        </r>
      </text>
    </comment>
    <comment ref="B69" authorId="0">
      <text>
        <r>
          <rPr>
            <sz val="9"/>
            <color indexed="81"/>
            <rFont val="Tahoma"/>
            <family val="2"/>
          </rPr>
          <t xml:space="preserve">If the LM5001 is selected the sense resistor is internal. This cell should be set to 50mΩ
</t>
        </r>
      </text>
    </comment>
    <comment ref="B70" authorId="0">
      <text>
        <r>
          <rPr>
            <sz val="9"/>
            <color indexed="81"/>
            <rFont val="Tahoma"/>
            <family val="2"/>
          </rPr>
          <t xml:space="preserve">If red the current limit is too small and a new sense resistor should be chosen. Ensure that your desired current limit is set high enough.
</t>
        </r>
      </text>
    </comment>
    <comment ref="A78" authorId="0">
      <text>
        <r>
          <rPr>
            <sz val="9"/>
            <color indexed="81"/>
            <rFont val="Tahoma"/>
            <family val="2"/>
          </rPr>
          <t xml:space="preserve">A snubber is needed to protect the MOSFET in Flyback topology. This is because the energy of the leakage inductance from the transformer changes up the output capacitance of the MOSFET when it is switched off. This causes a large voltage spike on the switch node that can be much larger than the input voltage.
A snubber clamps the voltage at a safe level and dissipates the leakage inductance energy while keeping the MOSFET safe.
Snubber is not needed for the Fly-Buck and Fly-Buck-Boost. This is due to the topology. See notes in the Fly-Buck. </t>
        </r>
      </text>
    </comment>
    <comment ref="A126" authorId="0">
      <text>
        <r>
          <rPr>
            <sz val="9"/>
            <color indexed="81"/>
            <rFont val="Tahoma"/>
            <family val="2"/>
          </rPr>
          <t xml:space="preserve">This is the reverse voltage that the output diode sees during the off time of the converter.
</t>
        </r>
      </text>
    </comment>
    <comment ref="A165" authorId="0">
      <text>
        <r>
          <rPr>
            <sz val="9"/>
            <color indexed="81"/>
            <rFont val="Tahoma"/>
            <family val="2"/>
          </rPr>
          <t>Set over LF Pole</t>
        </r>
      </text>
    </comment>
    <comment ref="A167" authorId="0">
      <text>
        <r>
          <rPr>
            <sz val="9"/>
            <color indexed="81"/>
            <rFont val="Tahoma"/>
            <family val="2"/>
          </rPr>
          <t>Set over Zero</t>
        </r>
      </text>
    </comment>
  </commentList>
</comments>
</file>

<file path=xl/comments6.xml><?xml version="1.0" encoding="utf-8"?>
<comments xmlns="http://schemas.openxmlformats.org/spreadsheetml/2006/main">
  <authors>
    <author>PPD-NPS</author>
  </authors>
  <commentList>
    <comment ref="A10" authorId="0">
      <text>
        <r>
          <rPr>
            <b/>
            <sz val="9"/>
            <color indexed="81"/>
            <rFont val="Tahoma"/>
            <family val="2"/>
          </rPr>
          <t>PPD-NPS:</t>
        </r>
        <r>
          <rPr>
            <sz val="9"/>
            <color indexed="81"/>
            <rFont val="Tahoma"/>
            <family val="2"/>
          </rPr>
          <t xml:space="preserve">
These are only calculated if there is no current on the primary side of the Fly-Buck and Fly-Buck-Boost.
Only if Isolated rails are needed.</t>
        </r>
      </text>
    </commen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 ref="A85" authorId="0">
      <text>
        <r>
          <rPr>
            <b/>
            <sz val="9"/>
            <color indexed="81"/>
            <rFont val="Tahoma"/>
            <family val="2"/>
          </rPr>
          <t>PPD-NPS:</t>
        </r>
        <r>
          <rPr>
            <sz val="9"/>
            <color indexed="81"/>
            <rFont val="Tahoma"/>
            <family val="2"/>
          </rPr>
          <t xml:space="preserve">
This if for the LM50xx family. There is a resistor divider in the COMP net work to keep the comp from railing
</t>
        </r>
      </text>
    </comment>
  </commentList>
</comments>
</file>

<file path=xl/comments7.xml><?xml version="1.0" encoding="utf-8"?>
<comments xmlns="http://schemas.openxmlformats.org/spreadsheetml/2006/main">
  <authors>
    <author>PPD-NPS</author>
  </authors>
  <commentList>
    <comment ref="E17" authorId="0">
      <text>
        <r>
          <rPr>
            <sz val="9"/>
            <color indexed="81"/>
            <rFont val="Tahoma"/>
            <family val="2"/>
          </rPr>
          <t>These are the same values as from the CCM design. Even with operating in DCM these values stay the same</t>
        </r>
      </text>
    </comment>
    <comment ref="A26" authorId="0">
      <text>
        <r>
          <rPr>
            <sz val="9"/>
            <color indexed="81"/>
            <rFont val="Tahoma"/>
            <family val="2"/>
          </rPr>
          <t>Below this value the flyback topology will operate in DCM always.
Above this value the flyback topology will operate in CCM</t>
        </r>
      </text>
    </comment>
    <comment ref="B66" authorId="0">
      <text>
        <r>
          <rPr>
            <sz val="9"/>
            <color indexed="81"/>
            <rFont val="Tahoma"/>
            <family val="2"/>
          </rPr>
          <t>If the LM5001 is selected the sense resistor is internal. This cell should be set to 50m</t>
        </r>
        <r>
          <rPr>
            <sz val="9"/>
            <color indexed="81"/>
            <rFont val="Calibri"/>
            <family val="2"/>
          </rPr>
          <t>Ω</t>
        </r>
      </text>
    </comment>
    <comment ref="B67" authorId="0">
      <text>
        <r>
          <rPr>
            <sz val="9"/>
            <color indexed="81"/>
            <rFont val="Tahoma"/>
            <family val="2"/>
          </rPr>
          <t xml:space="preserve">If red the current limit is too small and a new sense resistor should be chosen. Ensure that your desired current limit is set high enough.
</t>
        </r>
      </text>
    </comment>
    <comment ref="A166" authorId="0">
      <text>
        <r>
          <rPr>
            <sz val="9"/>
            <color indexed="81"/>
            <rFont val="Tahoma"/>
            <family val="2"/>
          </rPr>
          <t>Set over Zero</t>
        </r>
      </text>
    </comment>
    <comment ref="A168" authorId="0">
      <text>
        <r>
          <rPr>
            <sz val="9"/>
            <color indexed="81"/>
            <rFont val="Tahoma"/>
            <family val="2"/>
          </rPr>
          <t>Set over LF Pole</t>
        </r>
      </text>
    </comment>
  </commentList>
</comments>
</file>

<file path=xl/comments8.xml><?xml version="1.0" encoding="utf-8"?>
<comments xmlns="http://schemas.openxmlformats.org/spreadsheetml/2006/main">
  <authors>
    <author>PPD-NPS</author>
  </authors>
  <commentLis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B60" authorId="0">
      <text>
        <r>
          <rPr>
            <b/>
            <sz val="9"/>
            <color indexed="81"/>
            <rFont val="Tahoma"/>
            <family val="2"/>
          </rPr>
          <t>PPD-NPS:</t>
        </r>
        <r>
          <rPr>
            <sz val="9"/>
            <color indexed="81"/>
            <rFont val="Tahoma"/>
            <family val="2"/>
          </rPr>
          <t xml:space="preserve">
This is due to the nature of the buck and Buck-Boost Topology.
The body diode of the high-side FET clamps to VIN </t>
        </r>
      </text>
    </comment>
    <comment ref="A92" authorId="0">
      <text>
        <r>
          <rPr>
            <b/>
            <sz val="9"/>
            <color indexed="81"/>
            <rFont val="Tahoma"/>
            <family val="2"/>
          </rPr>
          <t xml:space="preserve">This if for the LM5160 which is the highest power COT that can be used for Fly-Buck
</t>
        </r>
      </text>
    </comment>
    <comment ref="A95" authorId="0">
      <text>
        <r>
          <rPr>
            <sz val="9"/>
            <color indexed="81"/>
            <rFont val="Tahoma"/>
            <family val="2"/>
          </rPr>
          <t xml:space="preserve">This is the reference Voltage of the part
</t>
        </r>
      </text>
    </comment>
    <comment ref="A100" authorId="0">
      <text>
        <r>
          <rPr>
            <b/>
            <sz val="9"/>
            <color indexed="81"/>
            <rFont val="Tahoma"/>
            <family val="2"/>
          </rPr>
          <t xml:space="preserve">This if for the LM5160 which is the highest power COT that can be used for Fly-Buck
</t>
        </r>
      </text>
    </comment>
    <comment ref="A103" authorId="0">
      <text>
        <r>
          <rPr>
            <sz val="9"/>
            <color indexed="81"/>
            <rFont val="Tahoma"/>
            <family val="2"/>
          </rPr>
          <t xml:space="preserve">This is the reference Voltage of the part
</t>
        </r>
      </text>
    </comment>
    <comment ref="A108" authorId="0">
      <text>
        <r>
          <rPr>
            <b/>
            <sz val="9"/>
            <color indexed="81"/>
            <rFont val="Tahoma"/>
            <family val="2"/>
          </rPr>
          <t xml:space="preserve">This if for the LM5160 which is the highest power COT that can be used for Fly-Buck
</t>
        </r>
      </text>
    </comment>
    <comment ref="A111" authorId="0">
      <text>
        <r>
          <rPr>
            <sz val="9"/>
            <color indexed="81"/>
            <rFont val="Tahoma"/>
            <family val="2"/>
          </rPr>
          <t xml:space="preserve">This is the reference Voltage of the part
</t>
        </r>
      </text>
    </comment>
    <comment ref="A116" authorId="0">
      <text>
        <r>
          <rPr>
            <b/>
            <sz val="9"/>
            <color indexed="81"/>
            <rFont val="Tahoma"/>
            <family val="2"/>
          </rPr>
          <t xml:space="preserve">This if for the LM5160 which is the highest power COT that can be used for Fly-Buck
</t>
        </r>
      </text>
    </comment>
    <comment ref="A119" authorId="0">
      <text>
        <r>
          <rPr>
            <sz val="9"/>
            <color indexed="81"/>
            <rFont val="Tahoma"/>
            <family val="2"/>
          </rPr>
          <t xml:space="preserve">This is the reference Voltage of the part
</t>
        </r>
      </text>
    </comment>
  </commentList>
</comments>
</file>

<file path=xl/comments9.xml><?xml version="1.0" encoding="utf-8"?>
<comments xmlns="http://schemas.openxmlformats.org/spreadsheetml/2006/main">
  <authors>
    <author>PPD-NPS</author>
  </authors>
  <commentLis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List>
</comments>
</file>

<file path=xl/sharedStrings.xml><?xml version="1.0" encoding="utf-8"?>
<sst xmlns="http://schemas.openxmlformats.org/spreadsheetml/2006/main" count="2953" uniqueCount="1010">
  <si>
    <t>VIN_MIN</t>
  </si>
  <si>
    <t>VIN_NOM</t>
  </si>
  <si>
    <t>VIN_MAX</t>
  </si>
  <si>
    <t>Switching Frequency</t>
  </si>
  <si>
    <t>Output Parameters</t>
  </si>
  <si>
    <t>V</t>
  </si>
  <si>
    <t>A</t>
  </si>
  <si>
    <t>Total Output Power</t>
  </si>
  <si>
    <t>kHz</t>
  </si>
  <si>
    <t>Efficiency</t>
  </si>
  <si>
    <t>VIN</t>
  </si>
  <si>
    <t>Flyback</t>
  </si>
  <si>
    <t>Primary Turns Ratio</t>
  </si>
  <si>
    <t>N VOUT1</t>
  </si>
  <si>
    <t>N VOUT2</t>
  </si>
  <si>
    <t>N VOUT3</t>
  </si>
  <si>
    <t>N VOUT4</t>
  </si>
  <si>
    <t>N VOUT5</t>
  </si>
  <si>
    <t>N VOUT6</t>
  </si>
  <si>
    <t>Number</t>
  </si>
  <si>
    <t>Fly-Buck Turns Ratio</t>
  </si>
  <si>
    <t>Selected Turns Ratio</t>
  </si>
  <si>
    <t>Pout</t>
  </si>
  <si>
    <t>Inductor Calculations</t>
  </si>
  <si>
    <t>Selected</t>
  </si>
  <si>
    <t>Calculator Constants</t>
  </si>
  <si>
    <t xml:space="preserve">DC Step </t>
  </si>
  <si>
    <t>Duty Cycle Caclualtion</t>
  </si>
  <si>
    <t>Index</t>
  </si>
  <si>
    <t>Vin</t>
  </si>
  <si>
    <t>Inductor Calcualtions</t>
  </si>
  <si>
    <t>DutyCycle</t>
  </si>
  <si>
    <t>Lcalc (VinMin)</t>
  </si>
  <si>
    <t>Lcalc (VinNom)</t>
  </si>
  <si>
    <t>Lcalc(VinMax)</t>
  </si>
  <si>
    <t>Inductor Selection</t>
  </si>
  <si>
    <t>Ripple Ratio</t>
  </si>
  <si>
    <t>L Calc (RR-10%)</t>
  </si>
  <si>
    <t>L Calc RR Select</t>
  </si>
  <si>
    <t>Lcalc (RR+10%)</t>
  </si>
  <si>
    <t>Date</t>
  </si>
  <si>
    <t>Owner</t>
  </si>
  <si>
    <t>Details</t>
  </si>
  <si>
    <t>GWR</t>
  </si>
  <si>
    <t>Created Document</t>
  </si>
  <si>
    <t>Fly-Buck</t>
  </si>
  <si>
    <t>Fly-Buck-Boost</t>
  </si>
  <si>
    <t>ILavg</t>
  </si>
  <si>
    <t>Duty-Cycle</t>
  </si>
  <si>
    <t>IL AVG</t>
  </si>
  <si>
    <t>RR</t>
  </si>
  <si>
    <t>RR*.9</t>
  </si>
  <si>
    <t>RR*1.1</t>
  </si>
  <si>
    <t>VinMin</t>
  </si>
  <si>
    <t>VinNom</t>
  </si>
  <si>
    <t>VinMax</t>
  </si>
  <si>
    <t>L_Calc</t>
  </si>
  <si>
    <t>Critical Inductance</t>
  </si>
  <si>
    <t>CCM Inductance</t>
  </si>
  <si>
    <t>Duty Cycle</t>
  </si>
  <si>
    <t>L calc</t>
  </si>
  <si>
    <t>Fly-Buck-Boost (VinNom)</t>
  </si>
  <si>
    <t>Flyback (CCM)</t>
  </si>
  <si>
    <t>Flyback (VinNom) in CCM</t>
  </si>
  <si>
    <t>Flyback (DCM)</t>
  </si>
  <si>
    <t>Selected Inductance</t>
  </si>
  <si>
    <t>DCM Duty Cycle (Full Power)</t>
  </si>
  <si>
    <t>DCM Duty Cycle (Half Power)</t>
  </si>
  <si>
    <t>Duty cycle</t>
  </si>
  <si>
    <t>CCM</t>
  </si>
  <si>
    <t>IL Ripple</t>
  </si>
  <si>
    <t>IL Peak</t>
  </si>
  <si>
    <t>DCM</t>
  </si>
  <si>
    <t>ILpeak Full Power</t>
  </si>
  <si>
    <t>Peak Current</t>
  </si>
  <si>
    <t>IL RMS (Primary)</t>
  </si>
  <si>
    <t>ILripple</t>
  </si>
  <si>
    <t>ILpeak</t>
  </si>
  <si>
    <t>u0</t>
  </si>
  <si>
    <t>Le</t>
  </si>
  <si>
    <t>Ae</t>
  </si>
  <si>
    <t>Ve</t>
  </si>
  <si>
    <t>Bmax</t>
  </si>
  <si>
    <t>mm^3</t>
  </si>
  <si>
    <t>mm^2</t>
  </si>
  <si>
    <t>mm</t>
  </si>
  <si>
    <t>W</t>
  </si>
  <si>
    <t>Ilavg</t>
  </si>
  <si>
    <t>ILavg Ton</t>
  </si>
  <si>
    <t>ILpeak Fly-Buck-Boost</t>
  </si>
  <si>
    <t>ILripple Fly-Buck-Boost</t>
  </si>
  <si>
    <t>ILrms Fly-Buck-Boost</t>
  </si>
  <si>
    <t>ILpeak Flyback (CCM)</t>
  </si>
  <si>
    <t>ILripple Flyback (CCM)</t>
  </si>
  <si>
    <t>ILrms Flyback (CCM)</t>
  </si>
  <si>
    <t>ILpeak Flyback (DCM)</t>
  </si>
  <si>
    <t>ILripple Flyback (DCM)</t>
  </si>
  <si>
    <t>ILrms Flyback (DCM)</t>
  </si>
  <si>
    <t>Npri</t>
  </si>
  <si>
    <t>N Vout1</t>
  </si>
  <si>
    <t>N Vout2</t>
  </si>
  <si>
    <t>N Vout3</t>
  </si>
  <si>
    <t>N Vout4</t>
  </si>
  <si>
    <t>N Vout5</t>
  </si>
  <si>
    <t>N Vout6</t>
  </si>
  <si>
    <t>Bsat</t>
  </si>
  <si>
    <t>Core Type</t>
  </si>
  <si>
    <t>Part Name</t>
  </si>
  <si>
    <t>LM5017</t>
  </si>
  <si>
    <t>LM5018</t>
  </si>
  <si>
    <t>LM5019</t>
  </si>
  <si>
    <t>K</t>
  </si>
  <si>
    <t xml:space="preserve">ILimit Max </t>
  </si>
  <si>
    <t>VOUT1 RMS</t>
  </si>
  <si>
    <t>VOUT2 RMS</t>
  </si>
  <si>
    <t>VOUT3 RMS</t>
  </si>
  <si>
    <t>VOUT4 RMS</t>
  </si>
  <si>
    <t>VOUT6 RMS</t>
  </si>
  <si>
    <t>VOUT5 RMS</t>
  </si>
  <si>
    <t>IL RMS Full Power</t>
  </si>
  <si>
    <t>VOUT1 D_demag</t>
  </si>
  <si>
    <t>VOUT1 IL PEAK</t>
  </si>
  <si>
    <t>VOUT1 IL RMS</t>
  </si>
  <si>
    <t>VOUT2 D_demag</t>
  </si>
  <si>
    <t>VOUT2 IL PEAK</t>
  </si>
  <si>
    <t>VOUT2 IL RMS</t>
  </si>
  <si>
    <t>VOUT3 D_demag</t>
  </si>
  <si>
    <t>VOUT4 IL PEAK</t>
  </si>
  <si>
    <t>VOUT3 IL RMS</t>
  </si>
  <si>
    <t>VOUT3 IL PEAK</t>
  </si>
  <si>
    <t>VOUT4 D_demag</t>
  </si>
  <si>
    <t>VOUT4 IL RMS</t>
  </si>
  <si>
    <t>VOUT5 D_demag</t>
  </si>
  <si>
    <t>VOUT5 IL PEAK</t>
  </si>
  <si>
    <t>VOUT5 IL RMS</t>
  </si>
  <si>
    <t>VOUT6 D_demag</t>
  </si>
  <si>
    <t>VOUT6 IL PEAK</t>
  </si>
  <si>
    <t>VOUT6 IL RMS</t>
  </si>
  <si>
    <t>IL RMS Primary</t>
  </si>
  <si>
    <t>RMS TOTAL</t>
  </si>
  <si>
    <t>IRMS TOTAL</t>
  </si>
  <si>
    <t>Ku</t>
  </si>
  <si>
    <t>Ω-cm</t>
  </si>
  <si>
    <t>Copper Losses</t>
  </si>
  <si>
    <t>Kg min</t>
  </si>
  <si>
    <t>CCM Peak Current</t>
  </si>
  <si>
    <t>CCM Max Ripple Current</t>
  </si>
  <si>
    <t xml:space="preserve"> CCM Max RMS</t>
  </si>
  <si>
    <t>CCM Max Total RMS</t>
  </si>
  <si>
    <t>T</t>
  </si>
  <si>
    <t>cm^5</t>
  </si>
  <si>
    <t>Kg (cm^5)</t>
  </si>
  <si>
    <t>Cross sectional Area (Ac mm^2)</t>
  </si>
  <si>
    <t>Magnetic Path Length (lm mm)</t>
  </si>
  <si>
    <t>Bobbin Winding area (Wa mm^2)</t>
  </si>
  <si>
    <t>Mean Length Turn (MLT mm)</t>
  </si>
  <si>
    <t>Core Volume (mm^3)</t>
  </si>
  <si>
    <t>Suggested Core</t>
  </si>
  <si>
    <t>E5.3/2.7/2</t>
  </si>
  <si>
    <t>E16/8/5</t>
  </si>
  <si>
    <t>E13/7/4</t>
  </si>
  <si>
    <t>E20/10/5</t>
  </si>
  <si>
    <t>E25/10/6</t>
  </si>
  <si>
    <t>3F35</t>
  </si>
  <si>
    <t>3F36</t>
  </si>
  <si>
    <t>"Hide the calculation tables for the user</t>
  </si>
  <si>
    <t>Air Gap</t>
  </si>
  <si>
    <t>Npri Min</t>
  </si>
  <si>
    <t>Wa</t>
  </si>
  <si>
    <t>CCM Ipri RMS</t>
  </si>
  <si>
    <t>CCM IVOUT1 RMS</t>
  </si>
  <si>
    <t>CCM IVOUT2 RMS</t>
  </si>
  <si>
    <t>CCM IVOUT3 RMS</t>
  </si>
  <si>
    <t>CCM IVOUT4 RMS</t>
  </si>
  <si>
    <t>CCM IVOUT5 RMS</t>
  </si>
  <si>
    <t>CCM IVOUT6 RMS</t>
  </si>
  <si>
    <t>α1</t>
  </si>
  <si>
    <t>α2</t>
  </si>
  <si>
    <t>α3</t>
  </si>
  <si>
    <t>α4</t>
  </si>
  <si>
    <t>α5</t>
  </si>
  <si>
    <t>α6</t>
  </si>
  <si>
    <t>αPri</t>
  </si>
  <si>
    <t>Winding allocation</t>
  </si>
  <si>
    <t>Number of Turns</t>
  </si>
  <si>
    <t>AwPri</t>
  </si>
  <si>
    <t>Aw1</t>
  </si>
  <si>
    <t>Aw2</t>
  </si>
  <si>
    <t>Aw3</t>
  </si>
  <si>
    <t>Aw4</t>
  </si>
  <si>
    <t>Aw5</t>
  </si>
  <si>
    <t>Aw6</t>
  </si>
  <si>
    <t>cm^2</t>
  </si>
  <si>
    <t>AWG</t>
  </si>
  <si>
    <t>Bac (T)</t>
  </si>
  <si>
    <t>Material Type</t>
  </si>
  <si>
    <t>Max Freq (kHz)</t>
  </si>
  <si>
    <t>Min Freq (kHz)</t>
  </si>
  <si>
    <t>Cm</t>
  </si>
  <si>
    <t>x</t>
  </si>
  <si>
    <t>y</t>
  </si>
  <si>
    <t>Ct2</t>
  </si>
  <si>
    <t>Ct1</t>
  </si>
  <si>
    <t>Ct</t>
  </si>
  <si>
    <t>Value</t>
  </si>
  <si>
    <t>Frequency Selector</t>
  </si>
  <si>
    <t>Material</t>
  </si>
  <si>
    <t>Temp Coe at 100C</t>
  </si>
  <si>
    <t>Core_Loss 3F35 (mW)</t>
  </si>
  <si>
    <t>Core_Loss 3F36 (mW)</t>
  </si>
  <si>
    <t>Bare Wire Area</t>
  </si>
  <si>
    <r>
      <t>p (</t>
    </r>
    <r>
      <rPr>
        <sz val="11"/>
        <color theme="1"/>
        <rFont val="Calibri"/>
        <family val="2"/>
      </rPr>
      <t>Ω/cm)</t>
    </r>
  </si>
  <si>
    <t>E6.3/2.9/2</t>
  </si>
  <si>
    <t>Power/Volume loss (mW/(cm^3))</t>
  </si>
  <si>
    <t>3C92</t>
  </si>
  <si>
    <t>3C96</t>
  </si>
  <si>
    <t>These still need to be worked on</t>
  </si>
  <si>
    <t>Core_Loss 3C92 (W)</t>
  </si>
  <si>
    <t>Core_Loss 3C94 (W)</t>
  </si>
  <si>
    <t>VOUT1 Iac RMS</t>
  </si>
  <si>
    <t>VOUT6 Iac RMS</t>
  </si>
  <si>
    <t>VOUT5 Iac RMS</t>
  </si>
  <si>
    <t>VOUT4 Iac RMS</t>
  </si>
  <si>
    <t>VOUT3 Iac RMS</t>
  </si>
  <si>
    <t>VOU2 Iac RMS</t>
  </si>
  <si>
    <t>IIN</t>
  </si>
  <si>
    <t>MLT</t>
  </si>
  <si>
    <t>Resistivity of Copper @ 25C</t>
  </si>
  <si>
    <t>Resistivity of Copper @ 100C</t>
  </si>
  <si>
    <t>Rdc Pri</t>
  </si>
  <si>
    <t>Rdc VOUT1</t>
  </si>
  <si>
    <t>Rdc VOUT2</t>
  </si>
  <si>
    <t>Rdc VOUT3</t>
  </si>
  <si>
    <t>Rdc VOUT4</t>
  </si>
  <si>
    <t>Rdc VOUT5</t>
  </si>
  <si>
    <t>Rdc VOUT6</t>
  </si>
  <si>
    <t>All calculations done at 100C</t>
  </si>
  <si>
    <t>Diameter (cm)</t>
  </si>
  <si>
    <t>Radius (cm)</t>
  </si>
  <si>
    <t>Rac Pri</t>
  </si>
  <si>
    <t>Rac Vout1</t>
  </si>
  <si>
    <t>Rac Vout2</t>
  </si>
  <si>
    <t>Rac Vout3</t>
  </si>
  <si>
    <t>Rac Vout4</t>
  </si>
  <si>
    <t>Rac Vout5</t>
  </si>
  <si>
    <t>Rac Vout6</t>
  </si>
  <si>
    <t>Ω</t>
  </si>
  <si>
    <t>Skin Depth</t>
  </si>
  <si>
    <t>cm</t>
  </si>
  <si>
    <t>Pri DC Copper Loss</t>
  </si>
  <si>
    <t>Pri AC Copper Loss</t>
  </si>
  <si>
    <t>VOUT1 DC Copper Loss</t>
  </si>
  <si>
    <t>VOUT1 AC Copper Loss</t>
  </si>
  <si>
    <t>VOUT2 DC Copper Loss</t>
  </si>
  <si>
    <t>VOUT2 AC Copper Loss</t>
  </si>
  <si>
    <t>VOUT3 DC Copper Loss</t>
  </si>
  <si>
    <t>VOUT3 AC Copper Loss</t>
  </si>
  <si>
    <t>VOUT4 DC Copper Loss</t>
  </si>
  <si>
    <t>VOUT4 AC Copper Loss</t>
  </si>
  <si>
    <t>VOUT5 DC Copper Loss</t>
  </si>
  <si>
    <t>VOUT5 AC Copper Loss</t>
  </si>
  <si>
    <t>VOUT6 DC Copper Loss</t>
  </si>
  <si>
    <t>VOUT6 AC Copper Loss</t>
  </si>
  <si>
    <t>Transformer Index</t>
  </si>
  <si>
    <t>Primary Iac</t>
  </si>
  <si>
    <t>3C94</t>
  </si>
  <si>
    <t>Suggested</t>
  </si>
  <si>
    <t>VOUT1 IL AC</t>
  </si>
  <si>
    <t>VOUT6 IL AC</t>
  </si>
  <si>
    <t>VOUT2 IL AC</t>
  </si>
  <si>
    <t>VOUT4 IL AC</t>
  </si>
  <si>
    <t>VOUT5 IL AC</t>
  </si>
  <si>
    <t>DCM Max Total RMS</t>
  </si>
  <si>
    <t>Flyback CCM</t>
  </si>
  <si>
    <t>Flyback DCM</t>
  </si>
  <si>
    <t>Wire Diameter</t>
  </si>
  <si>
    <t>Topology</t>
  </si>
  <si>
    <t>LM5020</t>
  </si>
  <si>
    <t>Pmax</t>
  </si>
  <si>
    <t>AC Flux Density (T)</t>
  </si>
  <si>
    <t>mV</t>
  </si>
  <si>
    <t>OUTPUT CAPARICTOR</t>
  </si>
  <si>
    <t>Turns Ratios</t>
  </si>
  <si>
    <t>Switching Parameters</t>
  </si>
  <si>
    <t>Dmin</t>
  </si>
  <si>
    <t>Dmax</t>
  </si>
  <si>
    <t>Ton_Max</t>
  </si>
  <si>
    <t>Ton_Min</t>
  </si>
  <si>
    <t>Output Capacitor</t>
  </si>
  <si>
    <t>Primary</t>
  </si>
  <si>
    <t>Switching Pararmeters</t>
  </si>
  <si>
    <t>DCM Ipri RMS</t>
  </si>
  <si>
    <t>DCM IVOUT1 RMS</t>
  </si>
  <si>
    <t>DCM IVOUT2 RMS</t>
  </si>
  <si>
    <t>DCM IVOUT3 RMS</t>
  </si>
  <si>
    <t>DCM IVOUT4 RMS</t>
  </si>
  <si>
    <t>DCM IVOUT5 RMS</t>
  </si>
  <si>
    <t>DCM IVOUT6 RMS</t>
  </si>
  <si>
    <t>Calculated VOUT1</t>
  </si>
  <si>
    <t>Selected VOUT1</t>
  </si>
  <si>
    <t>Calculated VOUT2</t>
  </si>
  <si>
    <t>Selected VOUT2</t>
  </si>
  <si>
    <t>Calculated VOUT3</t>
  </si>
  <si>
    <t>Selected VOUT3</t>
  </si>
  <si>
    <t>Calculated VOUT4</t>
  </si>
  <si>
    <t>Selected VOUT4</t>
  </si>
  <si>
    <t>Calculated VOUT5</t>
  </si>
  <si>
    <t>Selected VOUT5</t>
  </si>
  <si>
    <t>Calculated VOUT6</t>
  </si>
  <si>
    <t>Selected VOUT6</t>
  </si>
  <si>
    <t>LM DCM Selected</t>
  </si>
  <si>
    <t>H</t>
  </si>
  <si>
    <t>s</t>
  </si>
  <si>
    <t>Transformer RMS Currents</t>
  </si>
  <si>
    <t>Transfromer RMS</t>
  </si>
  <si>
    <t>Vout Pri</t>
  </si>
  <si>
    <t>Vout Primary</t>
  </si>
  <si>
    <t>LM_FB</t>
  </si>
  <si>
    <t>IRMS Total</t>
  </si>
  <si>
    <t>I_VOUT2 AVG</t>
  </si>
  <si>
    <t>I_VOUT2 RIPPLE</t>
  </si>
  <si>
    <t>I_VOUT1 AVG</t>
  </si>
  <si>
    <t>I_VOUT1 RIPPLE</t>
  </si>
  <si>
    <t>I_VOUT3 AVG</t>
  </si>
  <si>
    <t>I_VOUT3 RIPPLE</t>
  </si>
  <si>
    <t>I_VOUT4 AVG</t>
  </si>
  <si>
    <t>I_VOUT4 RIPPLE</t>
  </si>
  <si>
    <t>I_VOUT5 RIPPLE</t>
  </si>
  <si>
    <t>I_VOUT5 AVG</t>
  </si>
  <si>
    <t>I_VOUT6 AVG</t>
  </si>
  <si>
    <t>I_VOUT6 RIPPLE</t>
  </si>
  <si>
    <t>AG</t>
  </si>
  <si>
    <t>VOUT1 AC</t>
  </si>
  <si>
    <t>VOUT6 AC</t>
  </si>
  <si>
    <t>VOUT2 AC</t>
  </si>
  <si>
    <t>VOUT3 AC</t>
  </si>
  <si>
    <t>VOUT4 AC</t>
  </si>
  <si>
    <t>VOUT5 AC</t>
  </si>
  <si>
    <t>Max Ripple Current</t>
  </si>
  <si>
    <t>Max Peak Current</t>
  </si>
  <si>
    <t>Max RMS Current</t>
  </si>
  <si>
    <t>Ipri RMS</t>
  </si>
  <si>
    <t>Total RMS</t>
  </si>
  <si>
    <t>F</t>
  </si>
  <si>
    <t>Iin</t>
  </si>
  <si>
    <t>Y</t>
  </si>
  <si>
    <t>AC</t>
  </si>
  <si>
    <t>AK</t>
  </si>
  <si>
    <t>AO</t>
  </si>
  <si>
    <t>AS</t>
  </si>
  <si>
    <t>Transformer RMS</t>
  </si>
  <si>
    <t>Need to Change these to the new format</t>
  </si>
  <si>
    <t>Equation have tiny numbers</t>
  </si>
  <si>
    <t>Need to update the secondary outputs for this</t>
  </si>
  <si>
    <t>DC Winding Losses VOUT1</t>
  </si>
  <si>
    <t>AC Winding Losses VOUT1</t>
  </si>
  <si>
    <t>DC Winding Losses VOUT2</t>
  </si>
  <si>
    <t>AC Winding Losses VOUT2</t>
  </si>
  <si>
    <t>DC Winding Losses VOUT3</t>
  </si>
  <si>
    <t>AC Winding Losses VOUT3</t>
  </si>
  <si>
    <t>DC Winding Losses VOUT4</t>
  </si>
  <si>
    <t>AC Winding Losses VOUT4</t>
  </si>
  <si>
    <t>DC Winding Losses VOUT5</t>
  </si>
  <si>
    <t>AC Winding Losses VOUT5</t>
  </si>
  <si>
    <t>DC Winding Losses VOUT6</t>
  </si>
  <si>
    <t>AC Winding Losses VOUT6</t>
  </si>
  <si>
    <t>DC Winding Losses Primary (W)</t>
  </si>
  <si>
    <t>AC Winding Losses Primary (W)</t>
  </si>
  <si>
    <t>DC Winding Losses VOUT1 (W)</t>
  </si>
  <si>
    <t>AC Winding Losses VOUT1 (W)</t>
  </si>
  <si>
    <t>IL Primary AC Current</t>
  </si>
  <si>
    <t>X4</t>
  </si>
  <si>
    <t>DC Winding Losses VOUT2 (W)</t>
  </si>
  <si>
    <t>AC Winding Losses VOUT2 (W)</t>
  </si>
  <si>
    <t>DC Winding Losses VOUT3 (W)</t>
  </si>
  <si>
    <t>AC Winding Losses VOUT3 (W)</t>
  </si>
  <si>
    <t>DC Winding Losses VOUT4 (W)</t>
  </si>
  <si>
    <t>AC Winding Losses VOUT4 (W)</t>
  </si>
  <si>
    <t>DC Winding Losses VOUT5 (W)</t>
  </si>
  <si>
    <t>AC Winding Losses VOUT5 (W)</t>
  </si>
  <si>
    <t>DC Winding Losses VOUT6 (W)</t>
  </si>
  <si>
    <t>AC Winding Losses VOUT6 (W)</t>
  </si>
  <si>
    <t>DC Winding losses Primary</t>
  </si>
  <si>
    <t>AC Winding losses Primary</t>
  </si>
  <si>
    <t>I Primary AC</t>
  </si>
  <si>
    <t xml:space="preserve">Output Capacitor </t>
  </si>
  <si>
    <t>Calculated COUT1</t>
  </si>
  <si>
    <t>Selected COUT1</t>
  </si>
  <si>
    <t>Calculated COUT2</t>
  </si>
  <si>
    <t>Selected COUT2</t>
  </si>
  <si>
    <t>Calculated COUT3</t>
  </si>
  <si>
    <t>Selected COUT3</t>
  </si>
  <si>
    <t>Calculated COUT4</t>
  </si>
  <si>
    <t>Selected COUT4</t>
  </si>
  <si>
    <t>Calculated COUT5</t>
  </si>
  <si>
    <t>Selected COUT5</t>
  </si>
  <si>
    <t>Calculated COUT6</t>
  </si>
  <si>
    <t>Selected COUT6</t>
  </si>
  <si>
    <t>N AUX</t>
  </si>
  <si>
    <t>Calculated VoutAUX</t>
  </si>
  <si>
    <t>Selected VoutAUX</t>
  </si>
  <si>
    <t>Calculated COUTAUX</t>
  </si>
  <si>
    <t>Selected COUTAUX</t>
  </si>
  <si>
    <t>VAUX RMS</t>
  </si>
  <si>
    <t>VAUX Iac RMS</t>
  </si>
  <si>
    <t>VAUX D_demag</t>
  </si>
  <si>
    <t>VAUX IL PEAK</t>
  </si>
  <si>
    <t>VAUX IL RMS</t>
  </si>
  <si>
    <t>VAUX IL AC</t>
  </si>
  <si>
    <t>DCM IVAUX RMS</t>
  </si>
  <si>
    <t>CCM IAUX RMS</t>
  </si>
  <si>
    <t>αAUX</t>
  </si>
  <si>
    <t>AwAUX</t>
  </si>
  <si>
    <t>VAUX DC Copper Loss</t>
  </si>
  <si>
    <t>VAUX AC Copper Loss</t>
  </si>
  <si>
    <t>DC Winding Losses VAUX (W)</t>
  </si>
  <si>
    <t>AC Winding Losses VAUX (W)</t>
  </si>
  <si>
    <t>COUTPri Selected</t>
  </si>
  <si>
    <t>COUTPri Calculated</t>
  </si>
  <si>
    <t>Calculated COUTPri</t>
  </si>
  <si>
    <t>Selected COUTPri</t>
  </si>
  <si>
    <t>Selected Capacitor</t>
  </si>
  <si>
    <t>mΩ</t>
  </si>
  <si>
    <t>Voltage Stresses</t>
  </si>
  <si>
    <t>LM5021</t>
  </si>
  <si>
    <t>LM5022</t>
  </si>
  <si>
    <t>LM5001</t>
  </si>
  <si>
    <t>Rated</t>
  </si>
  <si>
    <t>FBB Max</t>
  </si>
  <si>
    <t>Nominal VCC (V)</t>
  </si>
  <si>
    <t>RDSon (HS) Ohm</t>
  </si>
  <si>
    <t>RDSon (LS) Ohm</t>
  </si>
  <si>
    <t>Diode Stress VOUT1</t>
  </si>
  <si>
    <t>Diode Stress VOUT2</t>
  </si>
  <si>
    <t>Diode Stress VOUT3</t>
  </si>
  <si>
    <t>Diode Stress VOUT4</t>
  </si>
  <si>
    <t>Diode Stress VOUT5</t>
  </si>
  <si>
    <t>Diode Stress VOUT6</t>
  </si>
  <si>
    <t>Diode Stress VAUX</t>
  </si>
  <si>
    <t>MOSFET</t>
  </si>
  <si>
    <t>MOSFET W/o Leakage</t>
  </si>
  <si>
    <t>MOSFET W/ Leakage</t>
  </si>
  <si>
    <t>Voltage Stress</t>
  </si>
  <si>
    <t>MOSFET w/o Leakage</t>
  </si>
  <si>
    <t>MOSFET w/ Leakage</t>
  </si>
  <si>
    <t>nF</t>
  </si>
  <si>
    <t>MOSFET w/ &amp; w/o Leakage</t>
  </si>
  <si>
    <t>DCR</t>
  </si>
  <si>
    <r>
      <t>m</t>
    </r>
    <r>
      <rPr>
        <sz val="11"/>
        <color theme="1"/>
        <rFont val="Calibri"/>
        <family val="2"/>
      </rPr>
      <t>Ω</t>
    </r>
  </si>
  <si>
    <t>Show Core Losses for each Topology</t>
  </si>
  <si>
    <t>Show Winding Losses for each Topology</t>
  </si>
  <si>
    <t>Show Total Losses for each Topology</t>
  </si>
  <si>
    <t>Show Efficiency Curve with Transformer Losses for each Topology</t>
  </si>
  <si>
    <t>Snubber Design</t>
  </si>
  <si>
    <t>Winding Losses</t>
  </si>
  <si>
    <t>3F35 Total Losses</t>
  </si>
  <si>
    <t>3F36 Total Losses</t>
  </si>
  <si>
    <t>3C92 Total Losses</t>
  </si>
  <si>
    <t>3C96 Total Losses</t>
  </si>
  <si>
    <t>PART Selection Parameters</t>
  </si>
  <si>
    <t>Part Selection Parameters</t>
  </si>
  <si>
    <t>Front Page</t>
  </si>
  <si>
    <t>Clamp Voltage Losses</t>
  </si>
  <si>
    <t>3F35 Losses</t>
  </si>
  <si>
    <t>3C96 Losses</t>
  </si>
  <si>
    <t>3C92 Losses</t>
  </si>
  <si>
    <t>3F36 Losses</t>
  </si>
  <si>
    <t>Clamp Losses (W)</t>
  </si>
  <si>
    <t>Minimum Diode rating</t>
  </si>
  <si>
    <t>Clamp Design</t>
  </si>
  <si>
    <t>Min Diode Rating</t>
  </si>
  <si>
    <t>Calculated C</t>
  </si>
  <si>
    <t>Selected R</t>
  </si>
  <si>
    <t>Calculated R</t>
  </si>
  <si>
    <r>
      <t>k</t>
    </r>
    <r>
      <rPr>
        <sz val="11"/>
        <color theme="1"/>
        <rFont val="Calibri"/>
        <family val="2"/>
      </rPr>
      <t>Ω</t>
    </r>
  </si>
  <si>
    <t>Desired Ripple</t>
  </si>
  <si>
    <t>Actual Ripple</t>
  </si>
  <si>
    <t>Selected C</t>
  </si>
  <si>
    <t>Fly-Buck Parts</t>
  </si>
  <si>
    <t>Fsw_Min (kHz)</t>
  </si>
  <si>
    <t>Fsw_Max (kHz)</t>
  </si>
  <si>
    <t>V Feedback (V)</t>
  </si>
  <si>
    <t>VIN_MAX (V)</t>
  </si>
  <si>
    <t>Vin_Min (V)</t>
  </si>
  <si>
    <t>Vin_Max (V)</t>
  </si>
  <si>
    <t>ILimit Min  (A)</t>
  </si>
  <si>
    <t>I Lim Threshold (V)</t>
  </si>
  <si>
    <t>Min Off-Time (S)</t>
  </si>
  <si>
    <t>Min On Time (S)</t>
  </si>
  <si>
    <t>Timing Resistor</t>
  </si>
  <si>
    <t>I sense Resistor</t>
  </si>
  <si>
    <t>Timing Parameters</t>
  </si>
  <si>
    <t>FET Parameters</t>
  </si>
  <si>
    <t>Current Limiting</t>
  </si>
  <si>
    <t>Compensation</t>
  </si>
  <si>
    <t>Type</t>
  </si>
  <si>
    <t>VCC Capacitor</t>
  </si>
  <si>
    <t>External FET</t>
  </si>
  <si>
    <t>COMP Resistor</t>
  </si>
  <si>
    <t>COMP Cap 1</t>
  </si>
  <si>
    <t>COMP Cap 2</t>
  </si>
  <si>
    <t>Opto</t>
  </si>
  <si>
    <t xml:space="preserve">UVLO </t>
  </si>
  <si>
    <t>Resistor</t>
  </si>
  <si>
    <t>Resistors</t>
  </si>
  <si>
    <t>Feeback Resistors</t>
  </si>
  <si>
    <t>Soft Start</t>
  </si>
  <si>
    <t>SS Cap</t>
  </si>
  <si>
    <t>-</t>
  </si>
  <si>
    <t>Bootstrap</t>
  </si>
  <si>
    <t>Boot Cap</t>
  </si>
  <si>
    <t>Input Capacitor</t>
  </si>
  <si>
    <t>Capaitors</t>
  </si>
  <si>
    <t>Primary Output Cap</t>
  </si>
  <si>
    <t>LM5160</t>
  </si>
  <si>
    <t>Fly-Buck-Boost Parts</t>
  </si>
  <si>
    <t>Flyback Parts</t>
  </si>
  <si>
    <t>Select the Specific Part</t>
  </si>
  <si>
    <t>Selected Part</t>
  </si>
  <si>
    <t>Cg Highside (F)</t>
  </si>
  <si>
    <t>SS Current (A)</t>
  </si>
  <si>
    <t>Snubber</t>
  </si>
  <si>
    <t>Diode</t>
  </si>
  <si>
    <t>Capacitor</t>
  </si>
  <si>
    <t>Opto Coupler</t>
  </si>
  <si>
    <t>Pull Up Resistor</t>
  </si>
  <si>
    <t>Opto R LED</t>
  </si>
  <si>
    <t>Opto R BIAS</t>
  </si>
  <si>
    <t>Opto  C Opto</t>
  </si>
  <si>
    <t>Opto C Comp</t>
  </si>
  <si>
    <t>Opto Volt Ref</t>
  </si>
  <si>
    <t>Min Duty Cycle</t>
  </si>
  <si>
    <t>Max Duty Cycle</t>
  </si>
  <si>
    <r>
      <t>Pull Up Resistor Value (</t>
    </r>
    <r>
      <rPr>
        <sz val="11"/>
        <color theme="1"/>
        <rFont val="Calibri"/>
        <family val="2"/>
      </rPr>
      <t>Ω)</t>
    </r>
  </si>
  <si>
    <t>Slope Comp (V)</t>
  </si>
  <si>
    <t>SW MAX</t>
  </si>
  <si>
    <t>Sense Resistor Value (Ohm)</t>
  </si>
  <si>
    <t>Secondary Diode</t>
  </si>
  <si>
    <t>Secondary Cap</t>
  </si>
  <si>
    <t>Transformer</t>
  </si>
  <si>
    <t>Index (Part Number)</t>
  </si>
  <si>
    <t>Ron K</t>
  </si>
  <si>
    <t>Feedback Voltage</t>
  </si>
  <si>
    <t>VCC Voltage</t>
  </si>
  <si>
    <t>HS Rdson</t>
  </si>
  <si>
    <t>LS Rdson</t>
  </si>
  <si>
    <t>Switch Rise+Fall Time</t>
  </si>
  <si>
    <t>S</t>
  </si>
  <si>
    <t>Part List Selections</t>
  </si>
  <si>
    <t>HS FET Conduction Losses (W)</t>
  </si>
  <si>
    <t>HS FET Switching Losses</t>
  </si>
  <si>
    <t>Gate Driver Losses</t>
  </si>
  <si>
    <t>Diode Losses</t>
  </si>
  <si>
    <t>Diode Losses VOUT1</t>
  </si>
  <si>
    <t>Diode Losses VOUT2</t>
  </si>
  <si>
    <t>Diode Losses VOUT3</t>
  </si>
  <si>
    <t>Diode Losses VOUT4</t>
  </si>
  <si>
    <t>Diode Losses VOUT5</t>
  </si>
  <si>
    <t>Diode Losses VOUT6</t>
  </si>
  <si>
    <t xml:space="preserve">Diode Losses (W) VOUT1 </t>
  </si>
  <si>
    <t>Diode Losses (W) VOUT2</t>
  </si>
  <si>
    <t>Diode Losses (W) VOUT3</t>
  </si>
  <si>
    <t>Diode Losses (W) VOUT4</t>
  </si>
  <si>
    <t>Diode Losses (W) VOUT5</t>
  </si>
  <si>
    <t>Diode Losses (W) VOUT6</t>
  </si>
  <si>
    <t>Column Number</t>
  </si>
  <si>
    <t>Current Limit</t>
  </si>
  <si>
    <t>DCR Primary Losses</t>
  </si>
  <si>
    <t>DCR Losses VOUT1</t>
  </si>
  <si>
    <t>DCR Losses VOUT2</t>
  </si>
  <si>
    <t>DCR Losses VOUT3</t>
  </si>
  <si>
    <t>DCR Losses VOUT4</t>
  </si>
  <si>
    <t>DCR Losses VOUT5</t>
  </si>
  <si>
    <t>DCR Losses VOUT6</t>
  </si>
  <si>
    <t>Transformer Primary DCR</t>
  </si>
  <si>
    <t>Transformer  DCR VOUT1</t>
  </si>
  <si>
    <t>Transformer  DCR VOUT2</t>
  </si>
  <si>
    <t>Transformer  DCR VOUT3</t>
  </si>
  <si>
    <t>Transformer  DCR VOUT4</t>
  </si>
  <si>
    <t>Transformer  DCR VOUT5</t>
  </si>
  <si>
    <t>Transformer  DCR VOUT6</t>
  </si>
  <si>
    <t>Gate Driver Losses (W)</t>
  </si>
  <si>
    <t>Body Diode Characteristics</t>
  </si>
  <si>
    <t>LS Gate Charge</t>
  </si>
  <si>
    <t>HS Gate Charge</t>
  </si>
  <si>
    <t>Qg Lowside (C)</t>
  </si>
  <si>
    <t>Q</t>
  </si>
  <si>
    <t>Designed Transformer Losses</t>
  </si>
  <si>
    <t>Selected Transformer Losses</t>
  </si>
  <si>
    <t>Total Selected Transformer Losses (W)</t>
  </si>
  <si>
    <t>FET / Gate Driver Losses</t>
  </si>
  <si>
    <t>Output Diode Losses</t>
  </si>
  <si>
    <t>Total Diode Loss (W)</t>
  </si>
  <si>
    <t>Efficiency (Selected Transformer)</t>
  </si>
  <si>
    <t>Input Power</t>
  </si>
  <si>
    <t>Input Power (W)</t>
  </si>
  <si>
    <t>Total Power Loss (W)</t>
  </si>
  <si>
    <t>3F35 Total Losses (W)</t>
  </si>
  <si>
    <t>3F36 Total Losses (W)</t>
  </si>
  <si>
    <t>3C92 Total Losses (W)</t>
  </si>
  <si>
    <t>3C96 Total Losses (W)</t>
  </si>
  <si>
    <t>DCR Primary Losses (W)</t>
  </si>
  <si>
    <t>DCR Losses VOUT1 (W)</t>
  </si>
  <si>
    <t>DCR Losses VOUT2 (W)</t>
  </si>
  <si>
    <t>DCR Losses VOUT3 (W)</t>
  </si>
  <si>
    <t>DCR Losses VOUT4 (W)</t>
  </si>
  <si>
    <t>DCR Losses VOUT5 (W)</t>
  </si>
  <si>
    <t>DCR Losses VOUT6 (W)</t>
  </si>
  <si>
    <t>Total Transformer Losses (W)</t>
  </si>
  <si>
    <t>Total Gate Driver Losses</t>
  </si>
  <si>
    <t>Total Losses</t>
  </si>
  <si>
    <t>Efficieny</t>
  </si>
  <si>
    <t>Total Output Diode Losses</t>
  </si>
  <si>
    <t>DCR Losses VOUTAUX</t>
  </si>
  <si>
    <t>Total Transformer Losses</t>
  </si>
  <si>
    <t>Part Selection</t>
  </si>
  <si>
    <t>Flyback CCM Part Selection</t>
  </si>
  <si>
    <t>Flyback DCM Part Selection</t>
  </si>
  <si>
    <t>Transformer  DCR VOUTAUX</t>
  </si>
  <si>
    <t>Selected Transformer Calculation</t>
  </si>
  <si>
    <t>LS Condution Losses</t>
  </si>
  <si>
    <t>LS Switching losses</t>
  </si>
  <si>
    <t>Total FET Losses</t>
  </si>
  <si>
    <t>Diode Losses VOUTAUX</t>
  </si>
  <si>
    <t>Total Diode Losses</t>
  </si>
  <si>
    <t>MOSFET Selection</t>
  </si>
  <si>
    <t>Vds Rating</t>
  </si>
  <si>
    <t>RdsOn</t>
  </si>
  <si>
    <t>Gate Charge</t>
  </si>
  <si>
    <t>nC</t>
  </si>
  <si>
    <t>Diode Stress</t>
  </si>
  <si>
    <t>DCR Losses Primary</t>
  </si>
  <si>
    <t>Total DCR Losses</t>
  </si>
  <si>
    <t>Total GET Losses</t>
  </si>
  <si>
    <t>Diode Drop</t>
  </si>
  <si>
    <t>Loop Compenstation</t>
  </si>
  <si>
    <t>Step</t>
  </si>
  <si>
    <t>Frequency (Hz)</t>
  </si>
  <si>
    <t>Radians</t>
  </si>
  <si>
    <t>Compensation Values</t>
  </si>
  <si>
    <t>Modulator Gain (VIN MIN)</t>
  </si>
  <si>
    <t>Modulator Phase (VIN MIN)</t>
  </si>
  <si>
    <t>Modulator Gain (VIN NOM)</t>
  </si>
  <si>
    <t>Modulator Phase (VIN NOM)</t>
  </si>
  <si>
    <t>Modulator Gain (VIN MAX)</t>
  </si>
  <si>
    <t>Modulator Phase (VIN MAX)</t>
  </si>
  <si>
    <t>Km VIN Min</t>
  </si>
  <si>
    <t>Km VIN Nom</t>
  </si>
  <si>
    <t>Km VIN Max</t>
  </si>
  <si>
    <t>Slope Compensation</t>
  </si>
  <si>
    <t>Wp VIN MIN</t>
  </si>
  <si>
    <t>Wp VIN NOM</t>
  </si>
  <si>
    <t>Wp VIN MAX</t>
  </si>
  <si>
    <t>Wl VIN MIN</t>
  </si>
  <si>
    <t>Wl VIN NOM</t>
  </si>
  <si>
    <t>Wl VIN MAX</t>
  </si>
  <si>
    <t>Current Sense Gain</t>
  </si>
  <si>
    <t>RI (Equvilent Rense Resistor)</t>
  </si>
  <si>
    <t>Rs (Sense Resistor)</t>
  </si>
  <si>
    <t>Eq Sense Resistor (Ri)</t>
  </si>
  <si>
    <t>Wz</t>
  </si>
  <si>
    <t>Wr VIN MIN</t>
  </si>
  <si>
    <t>Wr VIN NOM</t>
  </si>
  <si>
    <t>Wr VIN MAX</t>
  </si>
  <si>
    <t>ADC VIN NOM</t>
  </si>
  <si>
    <t>ADC VIN MAX</t>
  </si>
  <si>
    <t>ADC VIN MIN</t>
  </si>
  <si>
    <t>DC Divider Factor</t>
  </si>
  <si>
    <t>VIN MIN</t>
  </si>
  <si>
    <t>VIN MAX</t>
  </si>
  <si>
    <t>Plant Functions</t>
  </si>
  <si>
    <t>Non-Opto Coupler</t>
  </si>
  <si>
    <t>COMP GIAN</t>
  </si>
  <si>
    <t>COMP PHASE</t>
  </si>
  <si>
    <t>COMP GAIN</t>
  </si>
  <si>
    <t>OPT Coupler Compensation</t>
  </si>
  <si>
    <t>TOP</t>
  </si>
  <si>
    <t xml:space="preserve">Suggested Cut off Frequency </t>
  </si>
  <si>
    <t>Cutoff frequency</t>
  </si>
  <si>
    <t>Suggested Pole</t>
  </si>
  <si>
    <t>Selected Pole Location</t>
  </si>
  <si>
    <t>Pole Selected</t>
  </si>
  <si>
    <t>Zero Selected</t>
  </si>
  <si>
    <t>Hz</t>
  </si>
  <si>
    <t>Gain @ Fc</t>
  </si>
  <si>
    <t>Suggested Zero Location</t>
  </si>
  <si>
    <t>Selected Zero Location</t>
  </si>
  <si>
    <t>OPTO Current Transfer Ratio</t>
  </si>
  <si>
    <t>OPTO Diode Voltage Drop</t>
  </si>
  <si>
    <t>Inductor Current</t>
  </si>
  <si>
    <t>ESR VOUT1</t>
  </si>
  <si>
    <t>ESR VOUT2</t>
  </si>
  <si>
    <t>ESR VOUT3</t>
  </si>
  <si>
    <t>ESR VOUT4</t>
  </si>
  <si>
    <t>ESR VOUT5</t>
  </si>
  <si>
    <t>ESR VOUT6</t>
  </si>
  <si>
    <t>ESR VOUT AUX</t>
  </si>
  <si>
    <t>Calculated VOUT AUX</t>
  </si>
  <si>
    <t>Selected VOUT AUX</t>
  </si>
  <si>
    <t>Fsw</t>
  </si>
  <si>
    <t>I Limit</t>
  </si>
  <si>
    <t>Output Diode Selection</t>
  </si>
  <si>
    <t>Diode Voltage Stress VOUT1</t>
  </si>
  <si>
    <t>Diode Voltage Stress VOUT2</t>
  </si>
  <si>
    <t>Diode Voltage Stress VOUT3</t>
  </si>
  <si>
    <t>Diode Voltage Stress VOUT4</t>
  </si>
  <si>
    <t>Diode Voltage Stress VOUT5</t>
  </si>
  <si>
    <t>Diode Voltage Stress VOUT6</t>
  </si>
  <si>
    <t>Diode Voltage Stress VOUTAUX</t>
  </si>
  <si>
    <t>Leakage Inductance</t>
  </si>
  <si>
    <t>COSS</t>
  </si>
  <si>
    <t>Switch node Clamp voltage</t>
  </si>
  <si>
    <t>Ripple Voltage</t>
  </si>
  <si>
    <t>Clamp Resistor Calculation</t>
  </si>
  <si>
    <t>Selected Resistor</t>
  </si>
  <si>
    <t>Clamp Capacitor Calculation</t>
  </si>
  <si>
    <t>Selected Sense Resistor</t>
  </si>
  <si>
    <t>I Limit Voltage</t>
  </si>
  <si>
    <t>Current Limit Voltage</t>
  </si>
  <si>
    <t>Maximum Sense Resistor</t>
  </si>
  <si>
    <t>Actual Peak Current Limit</t>
  </si>
  <si>
    <t>Resistor Pull Up Voltage</t>
  </si>
  <si>
    <t>Opto Pull UP Voltage</t>
  </si>
  <si>
    <t>Opto Pull Up Voltage</t>
  </si>
  <si>
    <t>Opto Pull Up Resistor</t>
  </si>
  <si>
    <t>Resistor Pull Up Resistor</t>
  </si>
  <si>
    <t>Voltage Reference</t>
  </si>
  <si>
    <t>Internal Feedback Voltage</t>
  </si>
  <si>
    <t>Opto Voltage Reference</t>
  </si>
  <si>
    <t>Maximum Peak slope for KM</t>
  </si>
  <si>
    <t>kΩ</t>
  </si>
  <si>
    <t>Mid Band Gain</t>
  </si>
  <si>
    <t>dB</t>
  </si>
  <si>
    <t>Pole Location</t>
  </si>
  <si>
    <t>Zero Location</t>
  </si>
  <si>
    <t>Opto Coupler Pole Zero</t>
  </si>
  <si>
    <t>Non -Opo</t>
  </si>
  <si>
    <t>Non-Isolated Compensation</t>
  </si>
  <si>
    <t>Cpole Calculated</t>
  </si>
  <si>
    <t>Cpole Selected</t>
  </si>
  <si>
    <t>Czero Calculated</t>
  </si>
  <si>
    <t>Czero Selected</t>
  </si>
  <si>
    <t>Rcomp Selected</t>
  </si>
  <si>
    <t xml:space="preserve">DC gain </t>
  </si>
  <si>
    <t>CLOSE GAIN (VIN MIN)</t>
  </si>
  <si>
    <t>CLOSE PHASE (VIN MIN)</t>
  </si>
  <si>
    <t>CLOSE GAIN (VIN NOM)</t>
  </si>
  <si>
    <t>CLOSE PHASE (VIN NOM)</t>
  </si>
  <si>
    <t>CLOSE GAIN (VIN MAX)</t>
  </si>
  <si>
    <t>CLOSE PHASE (VIN MAX)</t>
  </si>
  <si>
    <t>NON OPTO COUPLER</t>
  </si>
  <si>
    <t>Opto Pull Up Resistance</t>
  </si>
  <si>
    <t>Sense Resistor</t>
  </si>
  <si>
    <t>Equivalent Sense Resistor</t>
  </si>
  <si>
    <t>ROUT</t>
  </si>
  <si>
    <t>K DC</t>
  </si>
  <si>
    <t>DC GAIN</t>
  </si>
  <si>
    <t>Plant Modleling</t>
  </si>
  <si>
    <t>Wp</t>
  </si>
  <si>
    <t>rad</t>
  </si>
  <si>
    <t>Opto Poles and Zeros</t>
  </si>
  <si>
    <t>Pole</t>
  </si>
  <si>
    <t>Zero</t>
  </si>
  <si>
    <t>Mid-Band Gain</t>
  </si>
  <si>
    <t>Non Opto</t>
  </si>
  <si>
    <t>Gain (dB)</t>
  </si>
  <si>
    <t>Phase (Degree)</t>
  </si>
  <si>
    <t>Non Opto Closed</t>
  </si>
  <si>
    <t>Opto Coupler Closed</t>
  </si>
  <si>
    <t>Non-Opto Compensation</t>
  </si>
  <si>
    <t xml:space="preserve">DC Gain </t>
  </si>
  <si>
    <t>Selected Pole</t>
  </si>
  <si>
    <t>Selected Zero</t>
  </si>
  <si>
    <t>Desired Current Limit</t>
  </si>
  <si>
    <t>Compensation Design Parameters</t>
  </si>
  <si>
    <t>FLY-BUCK Calculations</t>
  </si>
  <si>
    <t>Transformer Selection</t>
  </si>
  <si>
    <t>VOUT1</t>
  </si>
  <si>
    <t>VOUT2</t>
  </si>
  <si>
    <t>VOUT3</t>
  </si>
  <si>
    <t>VOUT4</t>
  </si>
  <si>
    <t>VOUT5</t>
  </si>
  <si>
    <t>VOUT6</t>
  </si>
  <si>
    <t>Calculated VOUT Primary</t>
  </si>
  <si>
    <t>Selected VOUT Primary</t>
  </si>
  <si>
    <t>ESR VOUT Primary</t>
  </si>
  <si>
    <t>Resistor Feedback</t>
  </si>
  <si>
    <t>TOP Resistor</t>
  </si>
  <si>
    <t>Selected Bottom</t>
  </si>
  <si>
    <t>Calculated Bottom Resistor</t>
  </si>
  <si>
    <t>Selected Bottom Resistor</t>
  </si>
  <si>
    <t>Cac</t>
  </si>
  <si>
    <t>Calculated Cr</t>
  </si>
  <si>
    <t>Selected Cr</t>
  </si>
  <si>
    <t>Calculated Rr</t>
  </si>
  <si>
    <t>Selected Rr</t>
  </si>
  <si>
    <t>Worst Case Ripple</t>
  </si>
  <si>
    <t>Flyback DCM Calculator</t>
  </si>
  <si>
    <t>Flyback Calculator (CCM Operation)</t>
  </si>
  <si>
    <t>Fly-Buck Resources</t>
  </si>
  <si>
    <t>Topic</t>
  </si>
  <si>
    <t>Best Uses Case</t>
  </si>
  <si>
    <t>Link</t>
  </si>
  <si>
    <t>https://e2e.ti.com/blogs_/b/powerhouse/archive/2014/07/24/when-is-fly-buck-the-right-choice-for-your-isolated-power-needs</t>
  </si>
  <si>
    <t>TI Reference Designs</t>
  </si>
  <si>
    <t xml:space="preserve">Fly-Buck-Boost Reference </t>
  </si>
  <si>
    <t xml:space="preserve">Topic </t>
  </si>
  <si>
    <t>Reference Designs</t>
  </si>
  <si>
    <t>Best Use Case</t>
  </si>
  <si>
    <t xml:space="preserve">https://e2e.ti.com/blogs_/b/powerhouse/archive/2014/11/08/should-you-use-buck-or-inverting-topology-for-fly-buck </t>
  </si>
  <si>
    <t xml:space="preserve">Current Limit </t>
  </si>
  <si>
    <t>Minimum Output Capacitor</t>
  </si>
  <si>
    <t>Output Diode Voltage Stress</t>
  </si>
  <si>
    <t>Flyback Resources</t>
  </si>
  <si>
    <t>Reference Design</t>
  </si>
  <si>
    <t>Article</t>
  </si>
  <si>
    <t>Picard Article</t>
  </si>
  <si>
    <t>Add some for the part Numbers below</t>
  </si>
  <si>
    <t>Current Limit Calculations</t>
  </si>
  <si>
    <t>COMPENSATION</t>
  </si>
  <si>
    <t>Min Operating Vin (V)</t>
  </si>
  <si>
    <t>Amps</t>
  </si>
  <si>
    <t>IMAX</t>
  </si>
  <si>
    <t>Device</t>
  </si>
  <si>
    <t>Vpri(max)</t>
  </si>
  <si>
    <t>times Min Vin</t>
  </si>
  <si>
    <t xml:space="preserve">Vpri = </t>
  </si>
  <si>
    <t xml:space="preserve">Efficiency = </t>
  </si>
  <si>
    <t>ROUGH ESTIMATE</t>
  </si>
  <si>
    <t>Vx</t>
  </si>
  <si>
    <t>Creator: Vijay Chourdary</t>
  </si>
  <si>
    <t>Max Output Power Calculator.</t>
  </si>
  <si>
    <t>General Curve In Both Fly-Buck and Fly-Buck-Boost Mode</t>
  </si>
  <si>
    <t>Fly-Buck Mode Operation Curve</t>
  </si>
  <si>
    <t>Fly-Buck-Boost Mode Operation Curve</t>
  </si>
  <si>
    <t>Topology Selection</t>
  </si>
  <si>
    <t>Actual</t>
  </si>
  <si>
    <t>Good?</t>
  </si>
  <si>
    <t>Limit</t>
  </si>
  <si>
    <t>Pout Level (W)</t>
  </si>
  <si>
    <t>VOUT MIN</t>
  </si>
  <si>
    <t>Fsw Min</t>
  </si>
  <si>
    <t>Fsw Max</t>
  </si>
  <si>
    <t>Selectable</t>
  </si>
  <si>
    <t>Topology Selectable</t>
  </si>
  <si>
    <t>Part / Topology Selection</t>
  </si>
  <si>
    <t>Fly-Back</t>
  </si>
  <si>
    <t>Part/Topo selection</t>
  </si>
  <si>
    <t xml:space="preserve">Part </t>
  </si>
  <si>
    <t>Topo</t>
  </si>
  <si>
    <t>Part</t>
  </si>
  <si>
    <t>Input Parameters</t>
  </si>
  <si>
    <t>Design Parameters</t>
  </si>
  <si>
    <t>Flyback Isolated Feedback (CCM)</t>
  </si>
  <si>
    <t>Flyback Non-Isolated Feedback (CCM)</t>
  </si>
  <si>
    <t>Flyback Primary Side Regulation (CCM)</t>
  </si>
  <si>
    <t>Flyback Isolated Feedback (DCM)</t>
  </si>
  <si>
    <t>Flyback Non-Isolated Feedback (DCM)</t>
  </si>
  <si>
    <t>Flyback Primary Side Regulation (DCM)</t>
  </si>
  <si>
    <t xml:space="preserve">GWR </t>
  </si>
  <si>
    <t>Major update for fly-Buck calculations</t>
  </si>
  <si>
    <t>Fly-Buck-Boost Added</t>
  </si>
  <si>
    <t>Flyback (CCM/DCM) added</t>
  </si>
  <si>
    <t>Transformer Design Caclulations Complete</t>
  </si>
  <si>
    <t>Compenstation for Flyback designs complete</t>
  </si>
  <si>
    <t>Ripple Injection for COT added</t>
  </si>
  <si>
    <t>Started Clean up and adding references to the worksheets</t>
  </si>
  <si>
    <t>User inputs</t>
  </si>
  <si>
    <t>Key</t>
  </si>
  <si>
    <t>Condition Good</t>
  </si>
  <si>
    <t>Error (See Comment</t>
  </si>
  <si>
    <t>Output Voltage</t>
  </si>
  <si>
    <t>Maximum Load Current</t>
  </si>
  <si>
    <t>Non-Isolated Outputs</t>
  </si>
  <si>
    <t>Isolated Outputs</t>
  </si>
  <si>
    <t>Suggested Output Voltage</t>
  </si>
  <si>
    <t>Selected Output Voltage (Vpri)</t>
  </si>
  <si>
    <t>Maximum Load Current (Ipri)</t>
  </si>
  <si>
    <t>Output Ripple Voltage</t>
  </si>
  <si>
    <t>Design Comparisons</t>
  </si>
  <si>
    <t>AUX VOUT</t>
  </si>
  <si>
    <t>Total External Parts (Non-ISO)</t>
  </si>
  <si>
    <t>Isolated Feedback Parts count</t>
  </si>
  <si>
    <t>Isolated estimated Costs</t>
  </si>
  <si>
    <t>Non Isolated Estimated Costs</t>
  </si>
  <si>
    <t>Electrolytic</t>
  </si>
  <si>
    <t>0603 Capacitor</t>
  </si>
  <si>
    <t>Reistor</t>
  </si>
  <si>
    <t>Ceramic Capacitor</t>
  </si>
  <si>
    <t>Didoes</t>
  </si>
  <si>
    <t>MOSFETS</t>
  </si>
  <si>
    <t>Componet</t>
  </si>
  <si>
    <t>1K Pricing ($)</t>
  </si>
  <si>
    <t>Voltage Ref</t>
  </si>
  <si>
    <t>Part Count for selected part</t>
  </si>
  <si>
    <t>Approximate cost</t>
  </si>
  <si>
    <t>$</t>
  </si>
  <si>
    <t>#</t>
  </si>
  <si>
    <t>Part Number</t>
  </si>
  <si>
    <t>Price</t>
  </si>
  <si>
    <t>Iso Price</t>
  </si>
  <si>
    <t>Iso Part Count</t>
  </si>
  <si>
    <t>Non-Iso Part Count</t>
  </si>
  <si>
    <t>Non-Iso Price</t>
  </si>
  <si>
    <t>Size &amp; Cost Comparison</t>
  </si>
  <si>
    <t>Performance Comparison</t>
  </si>
  <si>
    <t>Reference Material</t>
  </si>
  <si>
    <t>Dead Time Losses</t>
  </si>
  <si>
    <t>LS FET QRR Losses</t>
  </si>
  <si>
    <t>Dead Time</t>
  </si>
  <si>
    <t>Dead Time (s)</t>
  </si>
  <si>
    <t>Low Side Reverse Recover Charge (C )</t>
  </si>
  <si>
    <t>LS Reverse Recover Charge</t>
  </si>
  <si>
    <t>C</t>
  </si>
  <si>
    <t xml:space="preserve">Dead Time </t>
  </si>
  <si>
    <t>Reverse Recovery Charge</t>
  </si>
  <si>
    <t>Turns Ratio Selections</t>
  </si>
  <si>
    <t>Selected IC</t>
  </si>
  <si>
    <t>Assumed Flyback Diode Charge</t>
  </si>
  <si>
    <t>zx</t>
  </si>
  <si>
    <t>Reverse Recovery Loss</t>
  </si>
  <si>
    <t>Ripple Injection Compensation</t>
  </si>
  <si>
    <t>Output Capacitance</t>
  </si>
  <si>
    <t>Fly-Buck Landing Page</t>
  </si>
  <si>
    <t>http://www.ti.com/ww/en/analog/power_management/fly_buck_topology/index.html</t>
  </si>
  <si>
    <t>Transformer Design</t>
  </si>
  <si>
    <t>Selected Core Parameters</t>
  </si>
  <si>
    <t>Cross Section Size</t>
  </si>
  <si>
    <t>Suggested Wire Gauge</t>
  </si>
  <si>
    <t>DC Resistance</t>
  </si>
  <si>
    <t>AC Resistance</t>
  </si>
  <si>
    <t>Core Selection</t>
  </si>
  <si>
    <t>Windings</t>
  </si>
  <si>
    <t>Revision 1p00 released to marketing.</t>
  </si>
  <si>
    <t>External Components</t>
  </si>
  <si>
    <t>Relative Cost</t>
  </si>
  <si>
    <t>Maximum Duty Cycle</t>
  </si>
  <si>
    <t>Fly-Buck (Vin Nom)</t>
  </si>
  <si>
    <t>Transformer Current</t>
  </si>
  <si>
    <t>IL Peak Fly-Buck</t>
  </si>
  <si>
    <t>IL Ripple Fly-Buck</t>
  </si>
  <si>
    <t>IL RMS Fly-Buck</t>
  </si>
  <si>
    <t>Error (See Comment)</t>
  </si>
  <si>
    <t>Calculate Bottom</t>
  </si>
  <si>
    <t>Rcomp Calculated</t>
  </si>
  <si>
    <t>Calculated</t>
  </si>
  <si>
    <t>Flyback Critical Inductance</t>
  </si>
  <si>
    <t>IL Peak Flyback (DCM)</t>
  </si>
  <si>
    <t>IL Ripple Flyback (DCM)</t>
  </si>
  <si>
    <t>IL  Flyback (DCM)</t>
  </si>
  <si>
    <t>µ</t>
  </si>
  <si>
    <t>µF</t>
  </si>
  <si>
    <t>µH</t>
  </si>
  <si>
    <r>
      <t>DCR (m</t>
    </r>
    <r>
      <rPr>
        <sz val="11"/>
        <color theme="1"/>
        <rFont val="Calibri"/>
        <family val="2"/>
      </rPr>
      <t>Ω)</t>
    </r>
  </si>
  <si>
    <t>Feedback Resistors</t>
  </si>
  <si>
    <t>Pole / Zero Location</t>
  </si>
  <si>
    <t>Isolated Compensation</t>
  </si>
  <si>
    <t>FLY-BUCK-BOOST Calculator</t>
  </si>
  <si>
    <t>Transformer Currents</t>
  </si>
  <si>
    <t>Output Capacitor Calculations</t>
  </si>
  <si>
    <t>LM3481</t>
  </si>
  <si>
    <t>Voltage Reference Info</t>
  </si>
  <si>
    <t>OPTO Coupler Parameters</t>
  </si>
  <si>
    <t>Maxmum RLED Value</t>
  </si>
  <si>
    <t>Controller IC Values</t>
  </si>
  <si>
    <t>Add flag here if the IC selected has a gm amp and not a voltage error amp</t>
  </si>
  <si>
    <t>add flag here for the LM5001</t>
  </si>
  <si>
    <t>DC Gain</t>
  </si>
  <si>
    <t>Selected RLED</t>
  </si>
  <si>
    <t>CTR</t>
  </si>
  <si>
    <t>IC Pull Up Resistor</t>
  </si>
  <si>
    <t>V/V</t>
  </si>
  <si>
    <t>Calculated RLED</t>
  </si>
  <si>
    <t>Cross over Frequency</t>
  </si>
  <si>
    <t>Selected Rtop feedback</t>
  </si>
  <si>
    <t>Reference Voltage</t>
  </si>
  <si>
    <t>Opto Coupler Diode Drop</t>
  </si>
  <si>
    <r>
      <t>Maximum R</t>
    </r>
    <r>
      <rPr>
        <vertAlign val="subscript"/>
        <sz val="11"/>
        <color theme="1"/>
        <rFont val="Calibri"/>
        <family val="2"/>
        <scheme val="minor"/>
      </rPr>
      <t>LED</t>
    </r>
    <r>
      <rPr>
        <sz val="11"/>
        <color theme="1"/>
        <rFont val="Calibri"/>
        <family val="2"/>
        <scheme val="minor"/>
      </rPr>
      <t xml:space="preserve"> Value</t>
    </r>
  </si>
  <si>
    <r>
      <t>Calculated R</t>
    </r>
    <r>
      <rPr>
        <vertAlign val="subscript"/>
        <sz val="11"/>
        <color theme="1"/>
        <rFont val="Calibri"/>
        <family val="2"/>
        <scheme val="minor"/>
      </rPr>
      <t>LED</t>
    </r>
    <r>
      <rPr>
        <sz val="11"/>
        <color theme="1"/>
        <rFont val="Calibri"/>
        <family val="2"/>
        <scheme val="minor"/>
      </rPr>
      <t xml:space="preserve"> Value</t>
    </r>
  </si>
  <si>
    <r>
      <t>Selected R</t>
    </r>
    <r>
      <rPr>
        <vertAlign val="subscript"/>
        <sz val="11"/>
        <color theme="1"/>
        <rFont val="Calibri"/>
        <family val="2"/>
        <scheme val="minor"/>
      </rPr>
      <t>LED</t>
    </r>
    <r>
      <rPr>
        <sz val="11"/>
        <color theme="1"/>
        <rFont val="Calibri"/>
        <family val="2"/>
        <scheme val="minor"/>
      </rPr>
      <t xml:space="preserve"> Value</t>
    </r>
  </si>
  <si>
    <r>
      <t>Selected R</t>
    </r>
    <r>
      <rPr>
        <vertAlign val="subscript"/>
        <sz val="11"/>
        <color theme="1"/>
        <rFont val="Calibri"/>
        <family val="2"/>
        <scheme val="minor"/>
      </rPr>
      <t>FB_TOP</t>
    </r>
  </si>
  <si>
    <r>
      <t>Calculate R</t>
    </r>
    <r>
      <rPr>
        <vertAlign val="subscript"/>
        <sz val="11"/>
        <color theme="1"/>
        <rFont val="Calibri"/>
        <family val="2"/>
        <scheme val="minor"/>
      </rPr>
      <t>FB_Bottom</t>
    </r>
  </si>
  <si>
    <r>
      <t>Selected R</t>
    </r>
    <r>
      <rPr>
        <vertAlign val="subscript"/>
        <sz val="11"/>
        <color theme="1"/>
        <rFont val="Calibri"/>
        <family val="2"/>
        <scheme val="minor"/>
      </rPr>
      <t>FB_Bottom</t>
    </r>
  </si>
  <si>
    <t>Compensation Selections</t>
  </si>
  <si>
    <t>ohm</t>
  </si>
  <si>
    <t>Ohm</t>
  </si>
  <si>
    <t>Crossover frequency</t>
  </si>
  <si>
    <t>Selected Compensation Pole</t>
  </si>
  <si>
    <t>Selected Compensation Zero</t>
  </si>
  <si>
    <t>Crossover Frequency</t>
  </si>
  <si>
    <r>
      <t>Calculated C</t>
    </r>
    <r>
      <rPr>
        <vertAlign val="subscript"/>
        <sz val="11"/>
        <color theme="1"/>
        <rFont val="Calibri"/>
        <family val="2"/>
        <scheme val="minor"/>
      </rPr>
      <t>ZERO</t>
    </r>
  </si>
  <si>
    <r>
      <t>Selected C</t>
    </r>
    <r>
      <rPr>
        <vertAlign val="subscript"/>
        <sz val="11"/>
        <color theme="1"/>
        <rFont val="Calibri"/>
        <family val="2"/>
        <scheme val="minor"/>
      </rPr>
      <t>ZERO</t>
    </r>
  </si>
  <si>
    <r>
      <t>Calculated C</t>
    </r>
    <r>
      <rPr>
        <vertAlign val="subscript"/>
        <sz val="11"/>
        <color theme="1"/>
        <rFont val="Calibri"/>
        <family val="2"/>
        <scheme val="minor"/>
      </rPr>
      <t>POLE</t>
    </r>
  </si>
  <si>
    <r>
      <t>Selected C</t>
    </r>
    <r>
      <rPr>
        <vertAlign val="subscript"/>
        <sz val="11"/>
        <color theme="1"/>
        <rFont val="Calibri"/>
        <family val="2"/>
        <scheme val="minor"/>
      </rPr>
      <t>POLE</t>
    </r>
  </si>
  <si>
    <t>Calculated Czero</t>
  </si>
  <si>
    <t>Selected Czero</t>
  </si>
  <si>
    <t>Calculated Cpole</t>
  </si>
  <si>
    <t>Selected Cpole</t>
  </si>
  <si>
    <t>Calcualted Czero</t>
  </si>
  <si>
    <t>Gain calculation</t>
  </si>
  <si>
    <t>Calculate Cpole</t>
  </si>
  <si>
    <t>Top Feedback Resistor</t>
  </si>
  <si>
    <t>Selected CPole</t>
  </si>
  <si>
    <t>Calculated CZero</t>
  </si>
  <si>
    <t>Selected CZero</t>
  </si>
  <si>
    <t>Calcualted Rcomp</t>
  </si>
  <si>
    <t>Selected Rcomp</t>
  </si>
  <si>
    <r>
      <t>Calculated R</t>
    </r>
    <r>
      <rPr>
        <vertAlign val="subscript"/>
        <sz val="11"/>
        <color theme="1"/>
        <rFont val="Calibri"/>
        <family val="2"/>
        <scheme val="minor"/>
      </rPr>
      <t>COMP</t>
    </r>
  </si>
  <si>
    <r>
      <t>Selected R</t>
    </r>
    <r>
      <rPr>
        <vertAlign val="subscript"/>
        <sz val="11"/>
        <color theme="1"/>
        <rFont val="Calibri"/>
        <family val="2"/>
        <scheme val="minor"/>
      </rPr>
      <t>COMP</t>
    </r>
  </si>
  <si>
    <t>Feedback Resistor Calculations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</si>
</sst>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00E+0"/>
    <numFmt numFmtId="165" formatCode="0.000"/>
    <numFmt numFmtId="166" formatCode="0.0000"/>
    <numFmt numFmtId="167" formatCode="0.0000000"/>
    <numFmt numFmtId="168" formatCode="0.000000"/>
    <numFmt numFmtId="169" formatCode="0.00000"/>
    <numFmt numFmtId="170" formatCode="##0.000E+0"/>
    <numFmt numFmtId="171" formatCode="##0E+0"/>
    <numFmt numFmtId="172" formatCode="0.00000000000000000000000"/>
    <numFmt numFmtId="173" formatCode=";;;"/>
    <numFmt numFmtId="174" formatCode="0.0"/>
    <numFmt numFmtId="175" formatCode="####"/>
    <numFmt numFmtId="176" formatCode="&quot;&quot;;&quot;&quot;;&quot;&quot;;&quot;&quot;"/>
  </numFmts>
  <fonts count="25" x14ac:knownFonts="1">
    <font>
      <sz val="11"/>
      <color theme="1"/>
      <name val="Calibri"/>
      <family val="2"/>
      <scheme val="minor"/>
    </font>
    <font>
      <sz val="9"/>
      <color indexed="81"/>
      <name val="Tahoma"/>
      <family val="2"/>
    </font>
    <font>
      <b/>
      <sz val="11"/>
      <color theme="1"/>
      <name val="Calibri"/>
      <family val="2"/>
      <scheme val="minor"/>
    </font>
    <font>
      <b/>
      <sz val="9"/>
      <color indexed="81"/>
      <name val="Tahoma"/>
      <family val="2"/>
    </font>
    <font>
      <u/>
      <sz val="11"/>
      <color theme="1"/>
      <name val="Calibri"/>
      <family val="2"/>
      <scheme val="minor"/>
    </font>
    <font>
      <sz val="11"/>
      <color theme="1"/>
      <name val="Calibri"/>
      <family val="2"/>
    </font>
    <font>
      <sz val="18"/>
      <color theme="1"/>
      <name val="Calibri"/>
      <family val="2"/>
      <scheme val="minor"/>
    </font>
    <font>
      <sz val="11"/>
      <name val="Calibri"/>
      <family val="2"/>
      <scheme val="minor"/>
    </font>
    <font>
      <sz val="11"/>
      <color theme="1"/>
      <name val="Calibri"/>
      <family val="2"/>
      <scheme val="minor"/>
    </font>
    <font>
      <sz val="11"/>
      <color rgb="FF006100"/>
      <name val="Calibri"/>
      <family val="2"/>
      <scheme val="minor"/>
    </font>
    <font>
      <sz val="18"/>
      <color theme="0"/>
      <name val="Calibri"/>
      <family val="2"/>
      <scheme val="minor"/>
    </font>
    <font>
      <sz val="20"/>
      <color theme="0"/>
      <name val="Calibri"/>
      <family val="2"/>
      <scheme val="minor"/>
    </font>
    <font>
      <sz val="9"/>
      <color indexed="81"/>
      <name val="Calibri"/>
      <family val="2"/>
    </font>
    <font>
      <u/>
      <sz val="11"/>
      <color theme="10"/>
      <name val="Calibri"/>
      <family val="2"/>
      <scheme val="minor"/>
    </font>
    <font>
      <sz val="10"/>
      <color theme="1"/>
      <name val="Arial"/>
      <family val="2"/>
    </font>
    <font>
      <sz val="14"/>
      <color theme="1"/>
      <name val="Calibri"/>
      <family val="2"/>
      <scheme val="minor"/>
    </font>
    <font>
      <b/>
      <sz val="22"/>
      <color theme="0"/>
      <name val="Calibri"/>
      <family val="2"/>
      <scheme val="minor"/>
    </font>
    <font>
      <u/>
      <sz val="12"/>
      <color theme="1"/>
      <name val="Calibri"/>
      <family val="2"/>
      <scheme val="minor"/>
    </font>
    <font>
      <sz val="11"/>
      <color theme="0"/>
      <name val="Calibri"/>
      <family val="2"/>
      <scheme val="minor"/>
    </font>
    <font>
      <b/>
      <sz val="20"/>
      <color theme="1"/>
      <name val="Calibri"/>
      <family val="2"/>
      <scheme val="minor"/>
    </font>
    <font>
      <sz val="14"/>
      <color theme="0"/>
      <name val="Calibri"/>
      <family val="2"/>
      <scheme val="minor"/>
    </font>
    <font>
      <sz val="11"/>
      <color rgb="FFFF0000"/>
      <name val="Calibri"/>
      <family val="2"/>
      <scheme val="minor"/>
    </font>
    <font>
      <sz val="20"/>
      <color theme="1"/>
      <name val="Calibri"/>
      <family val="2"/>
      <scheme val="minor"/>
    </font>
    <font>
      <u/>
      <sz val="11"/>
      <color theme="0"/>
      <name val="Calibri"/>
      <family val="2"/>
      <scheme val="minor"/>
    </font>
    <font>
      <vertAlign val="subscript"/>
      <sz val="11"/>
      <color theme="1"/>
      <name val="Calibri"/>
      <family val="2"/>
      <scheme val="minor"/>
    </font>
  </fonts>
  <fills count="14">
    <fill>
      <patternFill patternType="none"/>
    </fill>
    <fill>
      <patternFill patternType="gray125"/>
    </fill>
    <fill>
      <patternFill patternType="solid">
        <fgColor rgb="FFFF000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00B050"/>
        <bgColor indexed="64"/>
      </patternFill>
    </fill>
    <fill>
      <patternFill patternType="solid">
        <fgColor theme="8"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s>
  <cellStyleXfs count="6">
    <xf numFmtId="0" fontId="0" fillId="0" borderId="0"/>
    <xf numFmtId="9" fontId="8" fillId="0" borderId="0" applyFont="0" applyFill="0" applyBorder="0" applyAlignment="0" applyProtection="0"/>
    <xf numFmtId="0" fontId="9" fillId="8" borderId="0" applyNumberFormat="0" applyBorder="0" applyAlignment="0" applyProtection="0"/>
    <xf numFmtId="0" fontId="13" fillId="0" borderId="0" applyNumberFormat="0" applyFill="0" applyBorder="0" applyAlignment="0" applyProtection="0"/>
    <xf numFmtId="0" fontId="14" fillId="0" borderId="0"/>
    <xf numFmtId="9" fontId="14" fillId="0" borderId="0" applyFont="0" applyFill="0" applyBorder="0" applyAlignment="0" applyProtection="0"/>
  </cellStyleXfs>
  <cellXfs count="578">
    <xf numFmtId="0" fontId="0" fillId="0" borderId="0" xfId="0"/>
    <xf numFmtId="0" fontId="0" fillId="0" borderId="0" xfId="0" applyFill="1"/>
    <xf numFmtId="164" fontId="0" fillId="0" borderId="0" xfId="0" applyNumberFormat="1"/>
    <xf numFmtId="14" fontId="0" fillId="0" borderId="0" xfId="0" applyNumberFormat="1"/>
    <xf numFmtId="0" fontId="0" fillId="0" borderId="0" xfId="0" applyAlignment="1">
      <alignment wrapText="1"/>
    </xf>
    <xf numFmtId="0" fontId="2" fillId="0" borderId="0" xfId="0" applyFont="1"/>
    <xf numFmtId="2" fontId="0" fillId="0" borderId="1" xfId="0" applyNumberFormat="1" applyBorder="1"/>
    <xf numFmtId="0" fontId="0" fillId="3" borderId="1" xfId="0" applyFill="1" applyBorder="1"/>
    <xf numFmtId="165" fontId="0" fillId="0" borderId="1" xfId="0" applyNumberFormat="1" applyBorder="1"/>
    <xf numFmtId="165" fontId="0" fillId="0" borderId="0" xfId="0" applyNumberFormat="1"/>
    <xf numFmtId="166" fontId="0" fillId="0" borderId="0" xfId="0" applyNumberFormat="1"/>
    <xf numFmtId="0" fontId="0" fillId="0" borderId="0" xfId="0" applyAlignment="1"/>
    <xf numFmtId="0" fontId="0" fillId="0" borderId="1" xfId="0" applyBorder="1"/>
    <xf numFmtId="0" fontId="0" fillId="0" borderId="0" xfId="0" applyAlignment="1">
      <alignment horizontal="center"/>
    </xf>
    <xf numFmtId="0" fontId="0" fillId="0" borderId="0" xfId="0" applyAlignment="1">
      <alignment horizontal="center" vertical="center" wrapText="1"/>
    </xf>
    <xf numFmtId="2" fontId="0" fillId="0" borderId="0" xfId="0" applyNumberFormat="1"/>
    <xf numFmtId="2" fontId="0" fillId="0" borderId="0" xfId="0" applyNumberFormat="1" applyAlignment="1">
      <alignment horizontal="center" vertical="center" wrapText="1"/>
    </xf>
    <xf numFmtId="0" fontId="5" fillId="0" borderId="0" xfId="0" applyFont="1"/>
    <xf numFmtId="169" fontId="0" fillId="0" borderId="0" xfId="0" applyNumberFormat="1"/>
    <xf numFmtId="164" fontId="0" fillId="0" borderId="1" xfId="0" applyNumberFormat="1" applyBorder="1"/>
    <xf numFmtId="164" fontId="0" fillId="0" borderId="0" xfId="0" applyNumberFormat="1" applyAlignment="1">
      <alignment horizontal="center" vertical="center" wrapText="1"/>
    </xf>
    <xf numFmtId="166" fontId="0" fillId="0" borderId="1" xfId="0" applyNumberFormat="1" applyBorder="1"/>
    <xf numFmtId="170" fontId="0" fillId="0" borderId="0" xfId="0" applyNumberFormat="1"/>
    <xf numFmtId="171" fontId="0" fillId="0" borderId="1" xfId="0" applyNumberFormat="1" applyBorder="1"/>
    <xf numFmtId="0" fontId="0" fillId="0" borderId="3" xfId="0" applyBorder="1"/>
    <xf numFmtId="0" fontId="0" fillId="0" borderId="4" xfId="0" applyBorder="1"/>
    <xf numFmtId="164" fontId="0" fillId="0" borderId="4" xfId="0" applyNumberForma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71" fontId="0" fillId="0" borderId="4" xfId="0" applyNumberFormat="1" applyBorder="1"/>
    <xf numFmtId="171" fontId="0" fillId="0" borderId="5" xfId="0" applyNumberFormat="1" applyBorder="1"/>
    <xf numFmtId="171" fontId="0" fillId="0" borderId="7" xfId="0" applyNumberFormat="1" applyBorder="1"/>
    <xf numFmtId="164" fontId="0" fillId="0" borderId="9" xfId="0" applyNumberFormat="1" applyBorder="1"/>
    <xf numFmtId="166" fontId="0" fillId="0" borderId="9" xfId="0" applyNumberFormat="1" applyBorder="1"/>
    <xf numFmtId="172" fontId="0" fillId="0" borderId="0" xfId="0" applyNumberFormat="1"/>
    <xf numFmtId="170" fontId="0" fillId="0" borderId="1" xfId="0" applyNumberFormat="1" applyBorder="1"/>
    <xf numFmtId="164" fontId="0" fillId="0" borderId="3" xfId="0" applyNumberFormat="1" applyBorder="1"/>
    <xf numFmtId="164" fontId="0" fillId="0" borderId="5" xfId="0" applyNumberFormat="1" applyBorder="1"/>
    <xf numFmtId="164" fontId="0" fillId="0" borderId="6" xfId="0" applyNumberFormat="1" applyBorder="1"/>
    <xf numFmtId="164" fontId="0" fillId="0" borderId="7" xfId="0" applyNumberFormat="1" applyBorder="1"/>
    <xf numFmtId="164" fontId="0" fillId="0" borderId="8" xfId="0" applyNumberFormat="1" applyBorder="1"/>
    <xf numFmtId="164" fontId="0" fillId="0" borderId="10" xfId="0" applyNumberFormat="1" applyBorder="1"/>
    <xf numFmtId="164" fontId="0" fillId="0" borderId="13" xfId="0" applyNumberFormat="1" applyBorder="1"/>
    <xf numFmtId="164" fontId="0" fillId="0" borderId="14" xfId="0" applyNumberFormat="1" applyBorder="1"/>
    <xf numFmtId="165" fontId="0" fillId="0" borderId="17" xfId="0" applyNumberFormat="1" applyBorder="1" applyAlignment="1">
      <alignment horizontal="center" vertical="center" wrapText="1"/>
    </xf>
    <xf numFmtId="165" fontId="0" fillId="0" borderId="18" xfId="0" applyNumberFormat="1" applyBorder="1" applyAlignment="1">
      <alignment horizontal="center" vertical="center" wrapText="1"/>
    </xf>
    <xf numFmtId="165" fontId="0" fillId="0" borderId="15" xfId="0" applyNumberFormat="1" applyBorder="1" applyAlignment="1">
      <alignment horizontal="center" vertical="center" wrapText="1"/>
    </xf>
    <xf numFmtId="165" fontId="0" fillId="0" borderId="16" xfId="0" applyNumberFormat="1" applyBorder="1" applyAlignment="1">
      <alignment horizontal="center" vertical="center" wrapText="1"/>
    </xf>
    <xf numFmtId="166" fontId="0" fillId="0" borderId="6" xfId="0" applyNumberFormat="1" applyBorder="1"/>
    <xf numFmtId="166" fontId="0" fillId="0" borderId="8" xfId="0" applyNumberFormat="1" applyBorder="1"/>
    <xf numFmtId="165" fontId="0" fillId="0" borderId="6" xfId="0" applyNumberFormat="1" applyBorder="1"/>
    <xf numFmtId="165" fontId="0" fillId="0" borderId="7" xfId="0" applyNumberFormat="1" applyBorder="1"/>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xf numFmtId="0" fontId="0" fillId="0" borderId="20" xfId="0" applyBorder="1"/>
    <xf numFmtId="166" fontId="0" fillId="0" borderId="12" xfId="0" applyNumberFormat="1" applyBorder="1"/>
    <xf numFmtId="166" fontId="0" fillId="0" borderId="5" xfId="0" applyNumberFormat="1" applyBorder="1"/>
    <xf numFmtId="0" fontId="0" fillId="0" borderId="21" xfId="0" applyBorder="1"/>
    <xf numFmtId="166" fontId="0" fillId="0" borderId="7" xfId="0" applyNumberFormat="1" applyBorder="1"/>
    <xf numFmtId="0" fontId="0" fillId="0" borderId="22" xfId="0" applyBorder="1"/>
    <xf numFmtId="166" fontId="0" fillId="0" borderId="10" xfId="0" applyNumberFormat="1" applyBorder="1"/>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164" fontId="0" fillId="4" borderId="7" xfId="0" applyNumberFormat="1" applyFill="1" applyBorder="1"/>
    <xf numFmtId="164" fontId="0" fillId="4" borderId="10" xfId="0" applyNumberFormat="1" applyFill="1" applyBorder="1"/>
    <xf numFmtId="0" fontId="0" fillId="2" borderId="0" xfId="0" applyFill="1" applyAlignment="1"/>
    <xf numFmtId="165" fontId="0" fillId="0" borderId="0" xfId="0" applyNumberFormat="1" applyBorder="1" applyAlignment="1">
      <alignment horizontal="center" vertical="center" wrapText="1"/>
    </xf>
    <xf numFmtId="165" fontId="0" fillId="0" borderId="19" xfId="0" applyNumberFormat="1" applyBorder="1" applyAlignment="1">
      <alignment horizontal="center" vertical="center" wrapText="1"/>
    </xf>
    <xf numFmtId="2" fontId="0" fillId="4" borderId="11" xfId="0" applyNumberFormat="1" applyFill="1" applyBorder="1"/>
    <xf numFmtId="2" fontId="0" fillId="4" borderId="26" xfId="0" applyNumberFormat="1" applyFill="1" applyBorder="1"/>
    <xf numFmtId="165" fontId="0" fillId="0" borderId="3" xfId="0" applyNumberFormat="1" applyBorder="1" applyAlignment="1">
      <alignment horizontal="center" vertical="center" wrapText="1"/>
    </xf>
    <xf numFmtId="165" fontId="0" fillId="0" borderId="5" xfId="0" applyNumberFormat="1" applyBorder="1" applyAlignment="1">
      <alignment horizontal="center" vertical="center" wrapText="1"/>
    </xf>
    <xf numFmtId="2" fontId="0" fillId="0" borderId="6" xfId="0" applyNumberFormat="1" applyFill="1" applyBorder="1"/>
    <xf numFmtId="164" fontId="0" fillId="4" borderId="11" xfId="0" applyNumberFormat="1" applyFill="1" applyBorder="1"/>
    <xf numFmtId="164" fontId="0" fillId="4" borderId="26" xfId="0" applyNumberFormat="1" applyFill="1" applyBorder="1"/>
    <xf numFmtId="165" fontId="0" fillId="0" borderId="23" xfId="0" applyNumberFormat="1" applyBorder="1" applyAlignment="1">
      <alignment horizontal="center" vertical="center" wrapText="1"/>
    </xf>
    <xf numFmtId="165" fontId="0" fillId="0" borderId="25" xfId="0" applyNumberFormat="1" applyBorder="1" applyAlignment="1">
      <alignment horizontal="center" vertical="center" wrapText="1"/>
    </xf>
    <xf numFmtId="164" fontId="0" fillId="0" borderId="27" xfId="0" applyNumberFormat="1" applyBorder="1"/>
    <xf numFmtId="164" fontId="0" fillId="0" borderId="28" xfId="0" applyNumberFormat="1" applyBorder="1"/>
    <xf numFmtId="48" fontId="0" fillId="0" borderId="6" xfId="0" applyNumberFormat="1" applyBorder="1"/>
    <xf numFmtId="48" fontId="0" fillId="0" borderId="7" xfId="0" applyNumberFormat="1" applyBorder="1"/>
    <xf numFmtId="48" fontId="0" fillId="4" borderId="7" xfId="0" applyNumberFormat="1" applyFill="1" applyBorder="1"/>
    <xf numFmtId="48" fontId="0" fillId="4" borderId="10" xfId="0" applyNumberFormat="1" applyFill="1" applyBorder="1"/>
    <xf numFmtId="2" fontId="0" fillId="0" borderId="15" xfId="0" applyNumberFormat="1" applyBorder="1" applyAlignment="1">
      <alignment horizontal="center" vertical="center" wrapText="1"/>
    </xf>
    <xf numFmtId="0" fontId="0" fillId="0" borderId="16" xfId="0" applyBorder="1" applyAlignment="1">
      <alignment horizontal="center" vertical="center" wrapText="1"/>
    </xf>
    <xf numFmtId="0" fontId="0" fillId="0" borderId="17" xfId="0" applyBorder="1"/>
    <xf numFmtId="0" fontId="0" fillId="0" borderId="0" xfId="0" applyBorder="1"/>
    <xf numFmtId="0" fontId="0" fillId="0" borderId="18" xfId="0" applyBorder="1"/>
    <xf numFmtId="0" fontId="0" fillId="0" borderId="0" xfId="0" applyBorder="1" applyAlignment="1"/>
    <xf numFmtId="0" fontId="0" fillId="0" borderId="0" xfId="0" applyBorder="1" applyAlignment="1">
      <alignment horizontal="center"/>
    </xf>
    <xf numFmtId="0" fontId="0" fillId="0" borderId="0" xfId="0" applyFont="1" applyBorder="1" applyAlignment="1">
      <alignment horizontal="center"/>
    </xf>
    <xf numFmtId="164" fontId="0" fillId="0" borderId="0" xfId="0" applyNumberFormat="1" applyBorder="1"/>
    <xf numFmtId="168" fontId="0" fillId="0" borderId="0" xfId="0" applyNumberFormat="1" applyBorder="1"/>
    <xf numFmtId="0" fontId="0" fillId="0" borderId="17" xfId="0" applyBorder="1" applyAlignment="1">
      <alignment horizontal="center"/>
    </xf>
    <xf numFmtId="0" fontId="5" fillId="0" borderId="0" xfId="0" applyFont="1" applyBorder="1"/>
    <xf numFmtId="2" fontId="0" fillId="0" borderId="0" xfId="0" applyNumberFormat="1" applyBorder="1"/>
    <xf numFmtId="167" fontId="0" fillId="0" borderId="0" xfId="0" applyNumberFormat="1" applyBorder="1"/>
    <xf numFmtId="166" fontId="0" fillId="0" borderId="0" xfId="0" applyNumberFormat="1" applyBorder="1"/>
    <xf numFmtId="0" fontId="0" fillId="0" borderId="29" xfId="0" applyBorder="1"/>
    <xf numFmtId="167" fontId="0" fillId="0" borderId="30" xfId="0" applyNumberFormat="1" applyBorder="1"/>
    <xf numFmtId="0" fontId="0" fillId="0" borderId="30" xfId="0" applyBorder="1"/>
    <xf numFmtId="0" fontId="5" fillId="0" borderId="30" xfId="0" applyFont="1" applyBorder="1"/>
    <xf numFmtId="0" fontId="0" fillId="0" borderId="31" xfId="0" applyBorder="1"/>
    <xf numFmtId="2" fontId="0" fillId="0" borderId="19" xfId="0" applyNumberFormat="1" applyBorder="1" applyAlignment="1">
      <alignment horizontal="center" vertical="center" wrapText="1"/>
    </xf>
    <xf numFmtId="48" fontId="0" fillId="0" borderId="13" xfId="0" applyNumberFormat="1" applyBorder="1"/>
    <xf numFmtId="0" fontId="0" fillId="0" borderId="0" xfId="0" applyBorder="1" applyAlignment="1">
      <alignment horizontal="center"/>
    </xf>
    <xf numFmtId="0" fontId="0" fillId="0" borderId="0" xfId="0" applyAlignment="1">
      <alignment horizontal="center"/>
    </xf>
    <xf numFmtId="0" fontId="0" fillId="6" borderId="0" xfId="0" applyFill="1" applyAlignment="1">
      <alignment horizontal="center"/>
    </xf>
    <xf numFmtId="168" fontId="0" fillId="0" borderId="1" xfId="0" applyNumberFormat="1" applyBorder="1"/>
    <xf numFmtId="0" fontId="0" fillId="0" borderId="0" xfId="0" applyFill="1" applyBorder="1"/>
    <xf numFmtId="165" fontId="0" fillId="0" borderId="0" xfId="0" applyNumberFormat="1" applyFill="1" applyBorder="1"/>
    <xf numFmtId="166" fontId="0" fillId="0" borderId="17" xfId="0" applyNumberFormat="1" applyBorder="1"/>
    <xf numFmtId="166" fontId="0" fillId="0" borderId="18" xfId="0" applyNumberFormat="1" applyBorder="1"/>
    <xf numFmtId="166" fontId="0" fillId="0" borderId="29" xfId="0" applyNumberFormat="1" applyBorder="1"/>
    <xf numFmtId="166" fontId="0" fillId="0" borderId="30" xfId="0" applyNumberFormat="1" applyBorder="1"/>
    <xf numFmtId="166" fontId="0" fillId="0" borderId="31" xfId="0" applyNumberFormat="1" applyBorder="1"/>
    <xf numFmtId="164" fontId="0" fillId="0" borderId="17" xfId="0" applyNumberFormat="1" applyBorder="1"/>
    <xf numFmtId="164" fontId="0" fillId="0" borderId="18" xfId="0" applyNumberFormat="1" applyBorder="1"/>
    <xf numFmtId="164" fontId="0" fillId="0" borderId="29" xfId="0" applyNumberFormat="1" applyBorder="1"/>
    <xf numFmtId="164" fontId="0" fillId="0" borderId="30" xfId="0" applyNumberFormat="1" applyBorder="1"/>
    <xf numFmtId="164" fontId="0" fillId="0" borderId="31" xfId="0" applyNumberFormat="1" applyBorder="1"/>
    <xf numFmtId="0" fontId="0" fillId="0" borderId="34" xfId="0" applyBorder="1"/>
    <xf numFmtId="0" fontId="0" fillId="0" borderId="35" xfId="0" applyBorder="1"/>
    <xf numFmtId="0" fontId="0" fillId="0" borderId="32" xfId="0" applyBorder="1" applyAlignment="1">
      <alignment horizontal="center" vertical="center" wrapText="1"/>
    </xf>
    <xf numFmtId="0" fontId="0" fillId="0" borderId="36" xfId="0" applyBorder="1"/>
    <xf numFmtId="0" fontId="0" fillId="0" borderId="37" xfId="0" applyBorder="1"/>
    <xf numFmtId="166" fontId="0" fillId="0" borderId="38" xfId="0" applyNumberFormat="1" applyBorder="1"/>
    <xf numFmtId="165" fontId="0" fillId="0" borderId="2" xfId="0" applyNumberFormat="1" applyBorder="1"/>
    <xf numFmtId="0" fontId="0" fillId="0" borderId="15" xfId="0" applyBorder="1"/>
    <xf numFmtId="0" fontId="0" fillId="0" borderId="16" xfId="0" applyBorder="1"/>
    <xf numFmtId="168" fontId="0" fillId="0" borderId="30" xfId="0" applyNumberFormat="1" applyBorder="1"/>
    <xf numFmtId="0" fontId="0" fillId="0" borderId="18" xfId="0" applyFill="1" applyBorder="1"/>
    <xf numFmtId="0" fontId="7" fillId="2" borderId="0" xfId="0" applyFont="1" applyFill="1"/>
    <xf numFmtId="2" fontId="0" fillId="4" borderId="1" xfId="0" applyNumberFormat="1" applyFill="1" applyBorder="1"/>
    <xf numFmtId="2" fontId="0" fillId="0" borderId="1" xfId="0" applyNumberFormat="1" applyFill="1" applyBorder="1"/>
    <xf numFmtId="48" fontId="0" fillId="4" borderId="1" xfId="0" applyNumberFormat="1" applyFill="1" applyBorder="1"/>
    <xf numFmtId="164" fontId="0" fillId="4" borderId="1" xfId="0" applyNumberFormat="1" applyFill="1" applyBorder="1"/>
    <xf numFmtId="166" fontId="0" fillId="0" borderId="39" xfId="0" applyNumberFormat="1" applyBorder="1"/>
    <xf numFmtId="0" fontId="0" fillId="0" borderId="27" xfId="0" applyBorder="1"/>
    <xf numFmtId="0" fontId="0" fillId="0" borderId="40" xfId="0" applyBorder="1"/>
    <xf numFmtId="166" fontId="0" fillId="0" borderId="41" xfId="0" applyNumberFormat="1" applyBorder="1"/>
    <xf numFmtId="0" fontId="0" fillId="0" borderId="12" xfId="0" applyBorder="1"/>
    <xf numFmtId="0" fontId="0" fillId="0" borderId="28" xfId="0" applyBorder="1"/>
    <xf numFmtId="0" fontId="0" fillId="0" borderId="42" xfId="0" applyBorder="1"/>
    <xf numFmtId="0" fontId="0" fillId="0" borderId="13" xfId="0" applyBorder="1"/>
    <xf numFmtId="0" fontId="0" fillId="0" borderId="14" xfId="0" applyBorder="1"/>
    <xf numFmtId="166" fontId="0" fillId="0" borderId="28" xfId="0" applyNumberFormat="1" applyBorder="1"/>
    <xf numFmtId="166" fontId="0" fillId="0" borderId="42" xfId="0" applyNumberFormat="1" applyBorder="1"/>
    <xf numFmtId="2" fontId="0" fillId="4" borderId="39" xfId="0" applyNumberFormat="1" applyFill="1" applyBorder="1"/>
    <xf numFmtId="2" fontId="0" fillId="0" borderId="39" xfId="0" applyNumberFormat="1" applyFill="1" applyBorder="1"/>
    <xf numFmtId="48" fontId="0" fillId="4" borderId="39" xfId="0" applyNumberFormat="1" applyFill="1" applyBorder="1"/>
    <xf numFmtId="164" fontId="0" fillId="0" borderId="39" xfId="0" applyNumberFormat="1" applyBorder="1"/>
    <xf numFmtId="164" fontId="0" fillId="4" borderId="39" xfId="0" applyNumberFormat="1" applyFill="1" applyBorder="1"/>
    <xf numFmtId="164" fontId="0" fillId="4" borderId="38" xfId="0" applyNumberFormat="1" applyFill="1" applyBorder="1"/>
    <xf numFmtId="165" fontId="0" fillId="0" borderId="24" xfId="0" applyNumberFormat="1" applyBorder="1" applyAlignment="1">
      <alignment horizontal="center" vertical="center" wrapText="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6" fontId="0" fillId="0" borderId="27" xfId="0" applyNumberFormat="1" applyBorder="1"/>
    <xf numFmtId="166" fontId="0" fillId="0" borderId="40" xfId="0" applyNumberFormat="1" applyBorder="1"/>
    <xf numFmtId="2" fontId="0" fillId="4" borderId="41" xfId="0" applyNumberFormat="1" applyFill="1" applyBorder="1"/>
    <xf numFmtId="2" fontId="0" fillId="0" borderId="41" xfId="0" applyNumberFormat="1" applyFill="1" applyBorder="1"/>
    <xf numFmtId="48" fontId="0" fillId="4" borderId="41" xfId="0" applyNumberFormat="1" applyFill="1" applyBorder="1"/>
    <xf numFmtId="164" fontId="0" fillId="0" borderId="41" xfId="0" applyNumberFormat="1" applyBorder="1"/>
    <xf numFmtId="164" fontId="0" fillId="4" borderId="41" xfId="0" applyNumberFormat="1" applyFill="1" applyBorder="1"/>
    <xf numFmtId="164" fontId="0" fillId="4" borderId="45" xfId="0" applyNumberFormat="1" applyFill="1" applyBorder="1"/>
    <xf numFmtId="0" fontId="0" fillId="0" borderId="43" xfId="0" applyBorder="1"/>
    <xf numFmtId="0" fontId="0" fillId="0" borderId="44" xfId="0" applyBorder="1"/>
    <xf numFmtId="166" fontId="0" fillId="0" borderId="44" xfId="0" applyNumberFormat="1" applyBorder="1"/>
    <xf numFmtId="0" fontId="0" fillId="0" borderId="46" xfId="0" applyBorder="1"/>
    <xf numFmtId="0" fontId="0" fillId="0" borderId="17" xfId="0" applyFill="1" applyBorder="1"/>
    <xf numFmtId="48" fontId="0" fillId="0" borderId="1" xfId="0" applyNumberFormat="1" applyBorder="1"/>
    <xf numFmtId="165" fontId="0" fillId="0" borderId="11" xfId="0" applyNumberFormat="1" applyBorder="1"/>
    <xf numFmtId="165" fontId="0" fillId="0" borderId="33" xfId="0" applyNumberFormat="1" applyBorder="1" applyAlignment="1">
      <alignment horizontal="center" vertical="center" wrapText="1"/>
    </xf>
    <xf numFmtId="166" fontId="0" fillId="0" borderId="47" xfId="0" applyNumberFormat="1" applyBorder="1"/>
    <xf numFmtId="166" fontId="0" fillId="0" borderId="48" xfId="0" applyNumberFormat="1" applyBorder="1"/>
    <xf numFmtId="166" fontId="0" fillId="0" borderId="11" xfId="0" applyNumberFormat="1" applyBorder="1"/>
    <xf numFmtId="166" fontId="0" fillId="0" borderId="49" xfId="0" applyNumberFormat="1" applyBorder="1"/>
    <xf numFmtId="166" fontId="0" fillId="0" borderId="3" xfId="0" applyNumberFormat="1" applyBorder="1"/>
    <xf numFmtId="166" fontId="0" fillId="0" borderId="4" xfId="0" applyNumberFormat="1" applyBorder="1"/>
    <xf numFmtId="0" fontId="0" fillId="0" borderId="1" xfId="0" applyFill="1" applyBorder="1"/>
    <xf numFmtId="169" fontId="0" fillId="0" borderId="1" xfId="0" applyNumberFormat="1" applyBorder="1"/>
    <xf numFmtId="169" fontId="0" fillId="0" borderId="18" xfId="0" applyNumberFormat="1" applyBorder="1"/>
    <xf numFmtId="48" fontId="0" fillId="0" borderId="17" xfId="0" applyNumberFormat="1" applyBorder="1"/>
    <xf numFmtId="48" fontId="0" fillId="0" borderId="29" xfId="0" applyNumberFormat="1" applyBorder="1"/>
    <xf numFmtId="164" fontId="0" fillId="0" borderId="1" xfId="0" applyNumberFormat="1" applyFill="1" applyBorder="1"/>
    <xf numFmtId="0" fontId="0" fillId="0" borderId="39" xfId="0" applyBorder="1"/>
    <xf numFmtId="0" fontId="0" fillId="0" borderId="50" xfId="0" applyBorder="1" applyAlignment="1">
      <alignment horizontal="center" vertical="center" wrapText="1"/>
    </xf>
    <xf numFmtId="169" fontId="0" fillId="0" borderId="7" xfId="0" applyNumberFormat="1" applyBorder="1"/>
    <xf numFmtId="169" fontId="0" fillId="0" borderId="9" xfId="0" applyNumberFormat="1" applyBorder="1"/>
    <xf numFmtId="169" fontId="0" fillId="0" borderId="10" xfId="0" applyNumberFormat="1" applyBorder="1"/>
    <xf numFmtId="169" fontId="0" fillId="0" borderId="39" xfId="0" applyNumberFormat="1" applyBorder="1"/>
    <xf numFmtId="169" fontId="0" fillId="0" borderId="28" xfId="0" applyNumberFormat="1" applyBorder="1"/>
    <xf numFmtId="0" fontId="0" fillId="0" borderId="43" xfId="0" applyBorder="1" applyAlignment="1">
      <alignment horizontal="center" vertical="center" wrapText="1"/>
    </xf>
    <xf numFmtId="0" fontId="0" fillId="0" borderId="51" xfId="0" applyBorder="1" applyAlignment="1">
      <alignment horizontal="center" vertical="center" wrapText="1"/>
    </xf>
    <xf numFmtId="0" fontId="0" fillId="0" borderId="44" xfId="0" applyBorder="1" applyAlignment="1">
      <alignment horizontal="center" vertical="center" wrapText="1"/>
    </xf>
    <xf numFmtId="0" fontId="0" fillId="0" borderId="1"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1" xfId="0" applyBorder="1" applyAlignment="1"/>
    <xf numFmtId="0" fontId="0" fillId="0" borderId="53" xfId="0" applyFill="1" applyBorder="1" applyAlignment="1"/>
    <xf numFmtId="48" fontId="0" fillId="0" borderId="0" xfId="0" applyNumberFormat="1" applyBorder="1"/>
    <xf numFmtId="48" fontId="0" fillId="0" borderId="11" xfId="0" applyNumberFormat="1" applyBorder="1"/>
    <xf numFmtId="48" fontId="0" fillId="0" borderId="8" xfId="0" applyNumberFormat="1" applyBorder="1"/>
    <xf numFmtId="48" fontId="0" fillId="0" borderId="9" xfId="0" applyNumberFormat="1" applyBorder="1"/>
    <xf numFmtId="48" fontId="0" fillId="0" borderId="10" xfId="0" applyNumberFormat="1" applyBorder="1"/>
    <xf numFmtId="48" fontId="0" fillId="0" borderId="27" xfId="0" applyNumberFormat="1" applyBorder="1"/>
    <xf numFmtId="48" fontId="0" fillId="0" borderId="38" xfId="0" applyNumberFormat="1" applyBorder="1"/>
    <xf numFmtId="0" fontId="0" fillId="0" borderId="0" xfId="0" applyBorder="1" applyAlignment="1">
      <alignment horizontal="center" vertical="center" wrapText="1"/>
    </xf>
    <xf numFmtId="0" fontId="0" fillId="0" borderId="1" xfId="0" applyFill="1" applyBorder="1" applyAlignment="1"/>
    <xf numFmtId="0" fontId="5" fillId="0" borderId="1" xfId="0" applyFont="1" applyBorder="1"/>
    <xf numFmtId="0" fontId="5" fillId="0" borderId="53" xfId="0" applyFont="1" applyFill="1" applyBorder="1"/>
    <xf numFmtId="48" fontId="0" fillId="0" borderId="0" xfId="0" applyNumberFormat="1"/>
    <xf numFmtId="0" fontId="0" fillId="0" borderId="0" xfId="0" applyNumberFormat="1"/>
    <xf numFmtId="0" fontId="0" fillId="4" borderId="0" xfId="0" applyFill="1"/>
    <xf numFmtId="0" fontId="0" fillId="0" borderId="0" xfId="0" applyAlignment="1">
      <alignment vertical="center" wrapText="1"/>
    </xf>
    <xf numFmtId="0" fontId="0" fillId="0" borderId="0" xfId="0" applyNumberFormat="1" applyAlignment="1">
      <alignment horizontal="center"/>
    </xf>
    <xf numFmtId="0" fontId="0" fillId="0" borderId="0" xfId="0" applyFill="1" applyBorder="1" applyAlignment="1"/>
    <xf numFmtId="48" fontId="0" fillId="4" borderId="0" xfId="0" applyNumberFormat="1" applyFill="1"/>
    <xf numFmtId="0" fontId="0" fillId="0" borderId="0" xfId="0" applyFill="1" applyAlignment="1">
      <alignment horizontal="center" vertical="center" wrapText="1"/>
    </xf>
    <xf numFmtId="0" fontId="0" fillId="0" borderId="0" xfId="0" applyAlignment="1">
      <alignment horizontal="right"/>
    </xf>
    <xf numFmtId="48" fontId="0" fillId="0" borderId="30" xfId="0" applyNumberFormat="1" applyBorder="1"/>
    <xf numFmtId="48" fontId="0" fillId="0" borderId="18" xfId="0" applyNumberFormat="1" applyBorder="1"/>
    <xf numFmtId="48" fontId="0" fillId="0" borderId="31" xfId="0" applyNumberFormat="1" applyBorder="1"/>
    <xf numFmtId="165" fontId="0" fillId="4" borderId="24" xfId="0" applyNumberFormat="1" applyFill="1" applyBorder="1" applyAlignment="1">
      <alignment horizontal="center" vertical="center" wrapText="1"/>
    </xf>
    <xf numFmtId="165" fontId="0" fillId="0" borderId="32" xfId="0" applyNumberFormat="1" applyBorder="1" applyAlignment="1">
      <alignment horizontal="center" vertical="center" wrapText="1"/>
    </xf>
    <xf numFmtId="48" fontId="0" fillId="0" borderId="34" xfId="0" applyNumberFormat="1" applyBorder="1"/>
    <xf numFmtId="48" fontId="0" fillId="0" borderId="35" xfId="0" applyNumberFormat="1" applyBorder="1"/>
    <xf numFmtId="165" fontId="0" fillId="0" borderId="0" xfId="0" applyNumberFormat="1" applyBorder="1"/>
    <xf numFmtId="165" fontId="0" fillId="0" borderId="30" xfId="0" applyNumberFormat="1" applyBorder="1"/>
    <xf numFmtId="0" fontId="0" fillId="0" borderId="19" xfId="0" applyBorder="1"/>
    <xf numFmtId="2" fontId="0" fillId="0" borderId="30" xfId="0" applyNumberFormat="1" applyBorder="1"/>
    <xf numFmtId="48" fontId="0" fillId="0" borderId="39" xfId="0" applyNumberFormat="1" applyBorder="1"/>
    <xf numFmtId="48" fontId="0" fillId="0" borderId="55" xfId="0" applyNumberFormat="1" applyBorder="1"/>
    <xf numFmtId="0" fontId="5" fillId="0" borderId="1" xfId="0" applyFont="1" applyFill="1" applyBorder="1"/>
    <xf numFmtId="48" fontId="0" fillId="0" borderId="40" xfId="0" applyNumberFormat="1" applyBorder="1"/>
    <xf numFmtId="48" fontId="0" fillId="0" borderId="41" xfId="0" applyNumberFormat="1" applyBorder="1"/>
    <xf numFmtId="48" fontId="0" fillId="0" borderId="45" xfId="0" applyNumberFormat="1" applyBorder="1"/>
    <xf numFmtId="48" fontId="0" fillId="0" borderId="36" xfId="0" applyNumberFormat="1" applyBorder="1"/>
    <xf numFmtId="48" fontId="0" fillId="0" borderId="37" xfId="0" applyNumberFormat="1" applyBorder="1"/>
    <xf numFmtId="48" fontId="0" fillId="0" borderId="56" xfId="0" applyNumberFormat="1" applyBorder="1"/>
    <xf numFmtId="48" fontId="0" fillId="0" borderId="49" xfId="0" applyNumberFormat="1" applyBorder="1"/>
    <xf numFmtId="48" fontId="0" fillId="0" borderId="57" xfId="0" applyNumberFormat="1" applyBorder="1"/>
    <xf numFmtId="48" fontId="0" fillId="0" borderId="24" xfId="0" applyNumberFormat="1" applyBorder="1" applyAlignment="1">
      <alignment horizontal="center" vertical="center" wrapText="1"/>
    </xf>
    <xf numFmtId="0" fontId="0" fillId="0" borderId="25" xfId="0" applyBorder="1"/>
    <xf numFmtId="0" fontId="0" fillId="0" borderId="1" xfId="0" applyBorder="1" applyAlignment="1">
      <alignment horizontal="center"/>
    </xf>
    <xf numFmtId="170" fontId="0" fillId="0" borderId="0" xfId="0" applyNumberFormat="1" applyBorder="1"/>
    <xf numFmtId="170" fontId="0" fillId="0" borderId="30" xfId="0" applyNumberFormat="1" applyBorder="1"/>
    <xf numFmtId="170" fontId="0" fillId="0" borderId="17" xfId="0" applyNumberFormat="1" applyBorder="1"/>
    <xf numFmtId="170" fontId="0" fillId="0" borderId="29" xfId="0" applyNumberFormat="1" applyBorder="1"/>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173" fontId="0" fillId="0" borderId="1" xfId="0" applyNumberFormat="1" applyBorder="1"/>
    <xf numFmtId="170" fontId="0" fillId="0" borderId="18" xfId="0" applyNumberFormat="1" applyBorder="1"/>
    <xf numFmtId="170" fontId="0" fillId="0" borderId="31" xfId="0" applyNumberFormat="1" applyBorder="1"/>
    <xf numFmtId="0" fontId="0" fillId="2" borderId="0" xfId="0" applyFill="1" applyBorder="1"/>
    <xf numFmtId="170" fontId="0" fillId="2" borderId="0" xfId="0" applyNumberFormat="1" applyFill="1" applyBorder="1"/>
    <xf numFmtId="14" fontId="9" fillId="8" borderId="0" xfId="2" applyNumberFormat="1"/>
    <xf numFmtId="0" fontId="14" fillId="0" borderId="0" xfId="4"/>
    <xf numFmtId="0" fontId="14" fillId="4" borderId="0" xfId="4" applyFill="1"/>
    <xf numFmtId="0" fontId="14" fillId="0" borderId="0" xfId="4" applyAlignment="1">
      <alignment horizontal="right"/>
    </xf>
    <xf numFmtId="9" fontId="0" fillId="10" borderId="0" xfId="5" applyFont="1" applyFill="1"/>
    <xf numFmtId="0" fontId="14" fillId="10" borderId="0" xfId="4" applyFill="1"/>
    <xf numFmtId="0" fontId="14" fillId="0" borderId="0" xfId="4" applyAlignment="1">
      <alignment horizontal="center"/>
    </xf>
    <xf numFmtId="174" fontId="14" fillId="0" borderId="0" xfId="4" applyNumberFormat="1" applyAlignment="1">
      <alignment horizontal="center"/>
    </xf>
    <xf numFmtId="2" fontId="14" fillId="0" borderId="0" xfId="4" applyNumberFormat="1"/>
    <xf numFmtId="0" fontId="14" fillId="5" borderId="0" xfId="4" applyFill="1" applyAlignment="1">
      <alignment horizontal="center"/>
    </xf>
    <xf numFmtId="0" fontId="0" fillId="0" borderId="17" xfId="0" applyBorder="1" applyAlignment="1"/>
    <xf numFmtId="0" fontId="0" fillId="11" borderId="0" xfId="0" applyFill="1"/>
    <xf numFmtId="0" fontId="0" fillId="9" borderId="32" xfId="0" applyFill="1" applyBorder="1"/>
    <xf numFmtId="0" fontId="0" fillId="2" borderId="32" xfId="0" applyFill="1" applyBorder="1"/>
    <xf numFmtId="14" fontId="9" fillId="0" borderId="0" xfId="2" applyNumberFormat="1" applyFill="1"/>
    <xf numFmtId="0" fontId="0" fillId="0" borderId="0" xfId="0" applyFill="1" applyAlignment="1">
      <alignment horizontal="right"/>
    </xf>
    <xf numFmtId="9" fontId="0" fillId="0" borderId="0" xfId="1" applyFont="1" applyFill="1"/>
    <xf numFmtId="0" fontId="0" fillId="0" borderId="0" xfId="0" applyFill="1" applyAlignment="1">
      <alignment horizontal="center"/>
    </xf>
    <xf numFmtId="174" fontId="0" fillId="0" borderId="0" xfId="0" applyNumberFormat="1" applyFill="1" applyAlignment="1">
      <alignment horizontal="center"/>
    </xf>
    <xf numFmtId="2" fontId="0" fillId="0" borderId="0" xfId="0" applyNumberFormat="1" applyFill="1"/>
    <xf numFmtId="0" fontId="0" fillId="0" borderId="0" xfId="0" applyBorder="1" applyAlignment="1">
      <alignment horizontal="center"/>
    </xf>
    <xf numFmtId="0" fontId="0" fillId="13" borderId="32" xfId="0" applyFill="1" applyBorder="1"/>
    <xf numFmtId="0" fontId="0" fillId="13" borderId="39" xfId="0" applyFill="1" applyBorder="1" applyProtection="1">
      <protection locked="0"/>
    </xf>
    <xf numFmtId="0" fontId="0" fillId="13" borderId="1" xfId="0" applyFill="1" applyBorder="1" applyProtection="1">
      <protection locked="0"/>
    </xf>
    <xf numFmtId="9" fontId="0" fillId="13" borderId="1" xfId="0" applyNumberFormat="1" applyFill="1" applyBorder="1" applyProtection="1">
      <protection locked="0"/>
    </xf>
    <xf numFmtId="9" fontId="0" fillId="13" borderId="9" xfId="0" applyNumberFormat="1" applyFill="1" applyBorder="1" applyProtection="1">
      <protection locked="0"/>
    </xf>
    <xf numFmtId="0" fontId="0" fillId="13" borderId="1" xfId="0" applyFill="1" applyBorder="1"/>
    <xf numFmtId="0" fontId="0" fillId="13" borderId="9" xfId="0" applyFill="1" applyBorder="1" applyProtection="1">
      <protection locked="0"/>
    </xf>
    <xf numFmtId="0" fontId="0" fillId="13" borderId="4" xfId="0" applyFill="1" applyBorder="1" applyProtection="1">
      <protection locked="0"/>
    </xf>
    <xf numFmtId="0" fontId="0" fillId="13" borderId="0" xfId="0" applyFill="1" applyBorder="1"/>
    <xf numFmtId="0" fontId="0" fillId="13" borderId="30" xfId="0" applyFill="1" applyBorder="1"/>
    <xf numFmtId="0" fontId="0" fillId="13" borderId="0" xfId="0" applyFill="1"/>
    <xf numFmtId="0" fontId="0" fillId="3" borderId="0" xfId="0" applyFill="1" applyBorder="1"/>
    <xf numFmtId="0" fontId="0" fillId="11" borderId="0" xfId="0" applyFill="1" applyProtection="1">
      <protection locked="0"/>
    </xf>
    <xf numFmtId="0" fontId="0" fillId="11" borderId="0" xfId="0" applyFill="1" applyProtection="1">
      <protection hidden="1"/>
    </xf>
    <xf numFmtId="0" fontId="0" fillId="11" borderId="27" xfId="0" applyFill="1" applyBorder="1" applyAlignment="1" applyProtection="1">
      <alignment horizontal="right"/>
      <protection hidden="1"/>
    </xf>
    <xf numFmtId="0" fontId="0" fillId="11" borderId="18" xfId="0" applyFill="1" applyBorder="1" applyProtection="1">
      <protection hidden="1"/>
    </xf>
    <xf numFmtId="0" fontId="0" fillId="11" borderId="6" xfId="0" applyFill="1" applyBorder="1" applyAlignment="1" applyProtection="1">
      <alignment horizontal="right"/>
      <protection hidden="1"/>
    </xf>
    <xf numFmtId="0" fontId="0" fillId="13" borderId="32" xfId="0" applyFill="1" applyBorder="1" applyProtection="1">
      <protection hidden="1"/>
    </xf>
    <xf numFmtId="0" fontId="0" fillId="9" borderId="32" xfId="0" applyFill="1" applyBorder="1" applyProtection="1">
      <protection hidden="1"/>
    </xf>
    <xf numFmtId="0" fontId="0" fillId="2" borderId="32" xfId="0" applyFill="1" applyBorder="1" applyProtection="1">
      <protection hidden="1"/>
    </xf>
    <xf numFmtId="0" fontId="0" fillId="11" borderId="8" xfId="0" applyFill="1" applyBorder="1" applyAlignment="1" applyProtection="1">
      <alignment horizontal="right"/>
      <protection hidden="1"/>
    </xf>
    <xf numFmtId="0" fontId="0" fillId="11" borderId="31" xfId="0" applyFill="1" applyBorder="1" applyProtection="1">
      <protection hidden="1"/>
    </xf>
    <xf numFmtId="0" fontId="2" fillId="11" borderId="0" xfId="0" applyFont="1" applyFill="1" applyBorder="1" applyAlignment="1" applyProtection="1">
      <protection hidden="1"/>
    </xf>
    <xf numFmtId="0" fontId="4" fillId="11" borderId="0" xfId="0" applyFont="1" applyFill="1" applyBorder="1" applyAlignment="1" applyProtection="1">
      <protection hidden="1"/>
    </xf>
    <xf numFmtId="0" fontId="0" fillId="10" borderId="17" xfId="0" applyFont="1" applyFill="1" applyBorder="1" applyAlignment="1" applyProtection="1">
      <alignment horizontal="right"/>
      <protection hidden="1"/>
    </xf>
    <xf numFmtId="0" fontId="4" fillId="10" borderId="0" xfId="0" applyFont="1" applyFill="1" applyBorder="1" applyAlignment="1" applyProtection="1">
      <alignment horizontal="center"/>
      <protection hidden="1"/>
    </xf>
    <xf numFmtId="0" fontId="4" fillId="10" borderId="18" xfId="0" applyFont="1" applyFill="1" applyBorder="1" applyAlignment="1" applyProtection="1">
      <alignment horizontal="center"/>
      <protection hidden="1"/>
    </xf>
    <xf numFmtId="0" fontId="4" fillId="11" borderId="0" xfId="0" applyFont="1" applyFill="1" applyBorder="1" applyAlignment="1" applyProtection="1">
      <alignment horizontal="center"/>
      <protection hidden="1"/>
    </xf>
    <xf numFmtId="0" fontId="0" fillId="11" borderId="15" xfId="0" applyFill="1" applyBorder="1" applyAlignment="1" applyProtection="1">
      <alignment horizontal="right"/>
      <protection hidden="1"/>
    </xf>
    <xf numFmtId="0" fontId="0" fillId="11" borderId="4" xfId="0" applyFill="1" applyBorder="1" applyProtection="1">
      <protection hidden="1"/>
    </xf>
    <xf numFmtId="0" fontId="0" fillId="11" borderId="16" xfId="0" applyFill="1" applyBorder="1" applyProtection="1">
      <protection hidden="1"/>
    </xf>
    <xf numFmtId="0" fontId="0" fillId="11" borderId="0" xfId="0" applyFill="1" applyBorder="1" applyProtection="1">
      <protection hidden="1"/>
    </xf>
    <xf numFmtId="0" fontId="0" fillId="11" borderId="17" xfId="0" applyFill="1" applyBorder="1" applyAlignment="1" applyProtection="1">
      <alignment horizontal="right"/>
      <protection hidden="1"/>
    </xf>
    <xf numFmtId="0" fontId="0" fillId="11" borderId="29" xfId="0" applyFill="1" applyBorder="1" applyAlignment="1" applyProtection="1">
      <alignment horizontal="right"/>
      <protection hidden="1"/>
    </xf>
    <xf numFmtId="0" fontId="0" fillId="10" borderId="0" xfId="0" applyFill="1" applyBorder="1" applyProtection="1">
      <protection hidden="1"/>
    </xf>
    <xf numFmtId="0" fontId="0" fillId="10" borderId="18" xfId="0" applyFill="1" applyBorder="1" applyProtection="1">
      <protection hidden="1"/>
    </xf>
    <xf numFmtId="0" fontId="0" fillId="11" borderId="0" xfId="0" applyFill="1" applyBorder="1" applyAlignment="1" applyProtection="1">
      <alignment horizontal="right"/>
      <protection hidden="1"/>
    </xf>
    <xf numFmtId="0" fontId="0" fillId="10" borderId="17" xfId="0" applyFill="1" applyBorder="1" applyAlignment="1" applyProtection="1">
      <alignment horizontal="right"/>
      <protection hidden="1"/>
    </xf>
    <xf numFmtId="0" fontId="0" fillId="11" borderId="15" xfId="0" applyFill="1" applyBorder="1" applyAlignment="1" applyProtection="1">
      <alignment horizontal="center"/>
      <protection hidden="1"/>
    </xf>
    <xf numFmtId="0" fontId="0" fillId="11" borderId="17" xfId="0" applyFill="1" applyBorder="1" applyAlignment="1" applyProtection="1">
      <alignment horizontal="center"/>
      <protection hidden="1"/>
    </xf>
    <xf numFmtId="0" fontId="0" fillId="11" borderId="1" xfId="0" applyFill="1" applyBorder="1" applyProtection="1">
      <protection hidden="1"/>
    </xf>
    <xf numFmtId="0" fontId="0" fillId="11" borderId="29" xfId="0" applyFill="1" applyBorder="1" applyAlignment="1" applyProtection="1">
      <alignment horizontal="center"/>
      <protection hidden="1"/>
    </xf>
    <xf numFmtId="0" fontId="0" fillId="11" borderId="9" xfId="0" applyFill="1" applyBorder="1" applyProtection="1">
      <protection hidden="1"/>
    </xf>
    <xf numFmtId="0" fontId="0" fillId="11" borderId="0" xfId="0" applyFill="1" applyBorder="1" applyAlignment="1" applyProtection="1">
      <alignment horizontal="center"/>
      <protection hidden="1"/>
    </xf>
    <xf numFmtId="173" fontId="0" fillId="11" borderId="59" xfId="0" applyNumberFormat="1" applyFill="1" applyBorder="1" applyProtection="1">
      <protection hidden="1"/>
    </xf>
    <xf numFmtId="173" fontId="0" fillId="11" borderId="47" xfId="0" applyNumberFormat="1" applyFill="1" applyBorder="1" applyProtection="1">
      <protection hidden="1"/>
    </xf>
    <xf numFmtId="173" fontId="0" fillId="11" borderId="48" xfId="0" applyNumberFormat="1" applyFill="1" applyBorder="1" applyProtection="1">
      <protection hidden="1"/>
    </xf>
    <xf numFmtId="0" fontId="0" fillId="11" borderId="0" xfId="0" applyFill="1" applyBorder="1" applyAlignment="1" applyProtection="1">
      <alignment wrapText="1"/>
      <protection hidden="1"/>
    </xf>
    <xf numFmtId="0" fontId="21" fillId="11" borderId="0" xfId="0" applyFont="1" applyFill="1" applyBorder="1" applyAlignment="1" applyProtection="1">
      <alignment wrapText="1"/>
      <protection hidden="1"/>
    </xf>
    <xf numFmtId="0" fontId="21" fillId="11" borderId="0" xfId="0" applyFont="1" applyFill="1" applyAlignment="1" applyProtection="1">
      <alignment wrapText="1"/>
      <protection hidden="1"/>
    </xf>
    <xf numFmtId="0" fontId="0" fillId="11" borderId="0" xfId="0" applyFill="1" applyAlignment="1" applyProtection="1">
      <alignment wrapText="1"/>
      <protection hidden="1"/>
    </xf>
    <xf numFmtId="0" fontId="0" fillId="11" borderId="15" xfId="0" applyFill="1" applyBorder="1" applyAlignment="1" applyProtection="1">
      <alignment wrapText="1"/>
      <protection hidden="1"/>
    </xf>
    <xf numFmtId="0" fontId="0" fillId="12" borderId="23" xfId="0" applyFill="1" applyBorder="1" applyAlignment="1" applyProtection="1">
      <alignment horizontal="center" vertical="center" wrapText="1"/>
      <protection hidden="1"/>
    </xf>
    <xf numFmtId="0" fontId="0" fillId="12" borderId="32" xfId="0" applyFill="1" applyBorder="1" applyAlignment="1" applyProtection="1">
      <alignment horizontal="center" vertical="center" wrapText="1"/>
      <protection hidden="1"/>
    </xf>
    <xf numFmtId="0" fontId="0" fillId="11" borderId="60" xfId="0" applyFill="1" applyBorder="1" applyAlignment="1" applyProtection="1">
      <alignment horizontal="center"/>
      <protection hidden="1"/>
    </xf>
    <xf numFmtId="0" fontId="0" fillId="11" borderId="55" xfId="0" applyFill="1" applyBorder="1" applyAlignment="1" applyProtection="1">
      <alignment horizontal="center"/>
      <protection hidden="1"/>
    </xf>
    <xf numFmtId="0" fontId="18" fillId="11" borderId="0" xfId="0" applyFont="1" applyFill="1" applyProtection="1">
      <protection hidden="1"/>
    </xf>
    <xf numFmtId="0" fontId="21" fillId="11" borderId="0" xfId="0" applyFont="1" applyFill="1" applyProtection="1">
      <protection hidden="1"/>
    </xf>
    <xf numFmtId="0" fontId="0" fillId="11" borderId="2" xfId="0" applyFill="1" applyBorder="1" applyAlignment="1" applyProtection="1">
      <alignment horizontal="center"/>
      <protection hidden="1"/>
    </xf>
    <xf numFmtId="0" fontId="0" fillId="11" borderId="47" xfId="0" applyFill="1" applyBorder="1" applyAlignment="1" applyProtection="1">
      <alignment horizontal="center"/>
      <protection hidden="1"/>
    </xf>
    <xf numFmtId="0" fontId="0" fillId="11" borderId="61" xfId="0" applyFill="1" applyBorder="1" applyAlignment="1" applyProtection="1">
      <alignment horizontal="center"/>
      <protection hidden="1"/>
    </xf>
    <xf numFmtId="0" fontId="0" fillId="11" borderId="48"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3" xfId="0" applyFill="1" applyBorder="1" applyProtection="1">
      <protection hidden="1"/>
    </xf>
    <xf numFmtId="0" fontId="15" fillId="11" borderId="24" xfId="0" applyFont="1" applyFill="1" applyBorder="1"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15" xfId="0" applyFill="1" applyBorder="1" applyProtection="1">
      <protection hidden="1"/>
    </xf>
    <xf numFmtId="165" fontId="0" fillId="11" borderId="4" xfId="0" applyNumberFormat="1" applyFill="1" applyBorder="1" applyProtection="1">
      <protection hidden="1"/>
    </xf>
    <xf numFmtId="0" fontId="0" fillId="11" borderId="19" xfId="0" applyFill="1" applyBorder="1" applyProtection="1">
      <protection hidden="1"/>
    </xf>
    <xf numFmtId="0" fontId="0" fillId="11" borderId="17" xfId="0" applyFill="1" applyBorder="1" applyProtection="1">
      <protection hidden="1"/>
    </xf>
    <xf numFmtId="165" fontId="0" fillId="11" borderId="1" xfId="0" applyNumberFormat="1" applyFill="1" applyBorder="1" applyProtection="1">
      <protection hidden="1"/>
    </xf>
    <xf numFmtId="0" fontId="0" fillId="11" borderId="29" xfId="0" applyFill="1" applyBorder="1" applyProtection="1">
      <protection hidden="1"/>
    </xf>
    <xf numFmtId="165" fontId="0" fillId="11" borderId="9" xfId="0" applyNumberFormat="1" applyFill="1" applyBorder="1" applyProtection="1">
      <protection hidden="1"/>
    </xf>
    <xf numFmtId="0" fontId="0" fillId="11" borderId="30" xfId="0" applyFill="1" applyBorder="1" applyProtection="1">
      <protection hidden="1"/>
    </xf>
    <xf numFmtId="2" fontId="0" fillId="11" borderId="4" xfId="0" applyNumberFormat="1" applyFill="1" applyBorder="1" applyProtection="1">
      <protection hidden="1"/>
    </xf>
    <xf numFmtId="0" fontId="15" fillId="11" borderId="23" xfId="0" applyFont="1" applyFill="1" applyBorder="1" applyProtection="1">
      <protection hidden="1"/>
    </xf>
    <xf numFmtId="0" fontId="0" fillId="11" borderId="5" xfId="0" applyFill="1" applyBorder="1" applyProtection="1">
      <protection hidden="1"/>
    </xf>
    <xf numFmtId="0" fontId="0" fillId="11" borderId="7" xfId="0" applyFill="1" applyBorder="1" applyProtection="1">
      <protection hidden="1"/>
    </xf>
    <xf numFmtId="0" fontId="0" fillId="11" borderId="10" xfId="0" applyFill="1" applyBorder="1" applyProtection="1">
      <protection hidden="1"/>
    </xf>
    <xf numFmtId="165" fontId="0" fillId="11" borderId="0" xfId="0" applyNumberFormat="1" applyFill="1" applyBorder="1" applyProtection="1">
      <protection hidden="1"/>
    </xf>
    <xf numFmtId="0" fontId="0" fillId="11" borderId="29" xfId="0" applyFill="1" applyBorder="1" applyAlignment="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2" fontId="0" fillId="11" borderId="0" xfId="0" applyNumberFormat="1" applyFill="1" applyBorder="1" applyProtection="1">
      <protection hidden="1"/>
    </xf>
    <xf numFmtId="0" fontId="0" fillId="11" borderId="41" xfId="0" applyFill="1" applyBorder="1" applyProtection="1">
      <protection hidden="1"/>
    </xf>
    <xf numFmtId="0" fontId="0" fillId="13" borderId="30" xfId="0" applyFill="1" applyBorder="1" applyProtection="1">
      <protection locked="0"/>
    </xf>
    <xf numFmtId="0" fontId="0" fillId="13" borderId="41" xfId="0" applyFill="1" applyBorder="1" applyProtection="1">
      <protection locked="0"/>
    </xf>
    <xf numFmtId="0" fontId="0" fillId="11" borderId="0" xfId="0" applyFill="1" applyBorder="1" applyAlignment="1" applyProtection="1">
      <protection hidden="1"/>
    </xf>
    <xf numFmtId="173" fontId="0" fillId="11" borderId="0" xfId="0" applyNumberFormat="1" applyFill="1" applyBorder="1" applyProtection="1">
      <protection hidden="1"/>
    </xf>
    <xf numFmtId="2" fontId="0" fillId="11" borderId="39" xfId="0" applyNumberFormat="1" applyFill="1" applyBorder="1" applyProtection="1">
      <protection hidden="1"/>
    </xf>
    <xf numFmtId="0" fontId="0" fillId="11" borderId="28" xfId="0" applyFill="1" applyBorder="1" applyProtection="1">
      <protection hidden="1"/>
    </xf>
    <xf numFmtId="2" fontId="0" fillId="11" borderId="1" xfId="0" applyNumberFormat="1" applyFill="1" applyBorder="1" applyProtection="1">
      <protection hidden="1"/>
    </xf>
    <xf numFmtId="2" fontId="0" fillId="11" borderId="9" xfId="0" applyNumberFormat="1" applyFill="1" applyBorder="1" applyProtection="1">
      <protection hidden="1"/>
    </xf>
    <xf numFmtId="0" fontId="0" fillId="11" borderId="27" xfId="0" applyFill="1" applyBorder="1" applyProtection="1">
      <protection hidden="1"/>
    </xf>
    <xf numFmtId="0" fontId="0" fillId="11" borderId="6" xfId="0" applyFill="1" applyBorder="1" applyProtection="1">
      <protection hidden="1"/>
    </xf>
    <xf numFmtId="0" fontId="5" fillId="11" borderId="7" xfId="0" applyFont="1" applyFill="1" applyBorder="1" applyProtection="1">
      <protection hidden="1"/>
    </xf>
    <xf numFmtId="0" fontId="0" fillId="11" borderId="8" xfId="0" applyFill="1" applyBorder="1" applyProtection="1">
      <protection hidden="1"/>
    </xf>
    <xf numFmtId="0" fontId="0" fillId="11" borderId="39" xfId="0" applyFill="1" applyBorder="1" applyProtection="1">
      <protection hidden="1"/>
    </xf>
    <xf numFmtId="0" fontId="0" fillId="11" borderId="3" xfId="0" applyFill="1" applyBorder="1" applyProtection="1">
      <protection hidden="1"/>
    </xf>
    <xf numFmtId="0" fontId="5" fillId="11" borderId="0" xfId="0" applyFont="1" applyFill="1" applyBorder="1" applyProtection="1">
      <protection hidden="1"/>
    </xf>
    <xf numFmtId="0" fontId="0" fillId="11" borderId="15" xfId="0" applyFill="1" applyBorder="1" applyAlignment="1" applyProtection="1">
      <alignment horizontal="left"/>
      <protection hidden="1"/>
    </xf>
    <xf numFmtId="165" fontId="0" fillId="13" borderId="1" xfId="0" applyNumberFormat="1" applyFill="1" applyBorder="1" applyProtection="1">
      <protection locked="0"/>
    </xf>
    <xf numFmtId="0" fontId="0" fillId="11" borderId="25" xfId="0" applyFill="1" applyBorder="1" applyAlignment="1" applyProtection="1">
      <protection hidden="1"/>
    </xf>
    <xf numFmtId="165" fontId="0" fillId="11" borderId="39" xfId="0" applyNumberFormat="1" applyFill="1" applyBorder="1" applyProtection="1">
      <protection hidden="1"/>
    </xf>
    <xf numFmtId="0" fontId="0" fillId="11" borderId="24" xfId="0" applyFill="1" applyBorder="1" applyAlignment="1" applyProtection="1">
      <protection hidden="1"/>
    </xf>
    <xf numFmtId="0" fontId="0" fillId="11" borderId="32" xfId="0" applyFill="1" applyBorder="1" applyProtection="1">
      <protection hidden="1"/>
    </xf>
    <xf numFmtId="166" fontId="0" fillId="11" borderId="1" xfId="0" applyNumberFormat="1" applyFill="1" applyBorder="1" applyProtection="1">
      <protection hidden="1"/>
    </xf>
    <xf numFmtId="0" fontId="0" fillId="13" borderId="51" xfId="0" applyFill="1" applyBorder="1" applyProtection="1">
      <protection locked="0"/>
    </xf>
    <xf numFmtId="0" fontId="0" fillId="13" borderId="6" xfId="0" applyFill="1" applyBorder="1" applyProtection="1">
      <protection hidden="1"/>
    </xf>
    <xf numFmtId="165" fontId="0" fillId="11" borderId="6" xfId="0" applyNumberFormat="1" applyFill="1" applyBorder="1" applyProtection="1">
      <protection hidden="1"/>
    </xf>
    <xf numFmtId="0" fontId="0" fillId="13" borderId="8" xfId="0" applyFill="1" applyBorder="1" applyProtection="1">
      <protection hidden="1"/>
    </xf>
    <xf numFmtId="0" fontId="0" fillId="13" borderId="3" xfId="0" applyFill="1" applyBorder="1" applyProtection="1">
      <protection hidden="1"/>
    </xf>
    <xf numFmtId="2" fontId="0" fillId="11" borderId="6" xfId="0" applyNumberFormat="1" applyFill="1" applyBorder="1" applyProtection="1">
      <protection hidden="1"/>
    </xf>
    <xf numFmtId="165" fontId="0" fillId="11" borderId="8" xfId="0" applyNumberFormat="1" applyFill="1" applyBorder="1" applyProtection="1">
      <protection hidden="1"/>
    </xf>
    <xf numFmtId="165" fontId="0" fillId="13" borderId="6" xfId="0" applyNumberFormat="1" applyFill="1" applyBorder="1" applyProtection="1">
      <protection locked="0"/>
    </xf>
    <xf numFmtId="0" fontId="0" fillId="13" borderId="8" xfId="0" applyFill="1" applyBorder="1" applyProtection="1">
      <protection locked="0"/>
    </xf>
    <xf numFmtId="0" fontId="0" fillId="13" borderId="3" xfId="0" applyFill="1" applyBorder="1" applyProtection="1">
      <protection locked="0"/>
    </xf>
    <xf numFmtId="0" fontId="0" fillId="13" borderId="6" xfId="0" applyFill="1" applyBorder="1" applyProtection="1">
      <protection locked="0"/>
    </xf>
    <xf numFmtId="0" fontId="0" fillId="13" borderId="48" xfId="0" applyFill="1" applyBorder="1" applyProtection="1">
      <protection locked="0"/>
    </xf>
    <xf numFmtId="0" fontId="0" fillId="11" borderId="3" xfId="0" applyFill="1" applyBorder="1" applyAlignment="1" applyProtection="1">
      <alignment horizontal="right"/>
      <protection hidden="1"/>
    </xf>
    <xf numFmtId="0" fontId="5" fillId="11" borderId="10" xfId="0" applyFont="1" applyFill="1" applyBorder="1" applyProtection="1">
      <protection hidden="1"/>
    </xf>
    <xf numFmtId="0" fontId="0" fillId="11" borderId="5" xfId="0" applyFill="1" applyBorder="1" applyAlignment="1" applyProtection="1">
      <alignment horizontal="center"/>
      <protection hidden="1"/>
    </xf>
    <xf numFmtId="0" fontId="0" fillId="11" borderId="2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5" fillId="11" borderId="0" xfId="0" applyFont="1" applyFill="1" applyProtection="1">
      <protection hidden="1"/>
    </xf>
    <xf numFmtId="0" fontId="0" fillId="11" borderId="0" xfId="0" applyNumberFormat="1" applyFont="1" applyFill="1" applyBorder="1" applyAlignment="1" applyProtection="1">
      <protection hidden="1"/>
    </xf>
    <xf numFmtId="2" fontId="0" fillId="11" borderId="3" xfId="0" applyNumberFormat="1" applyFill="1" applyBorder="1" applyProtection="1">
      <protection hidden="1"/>
    </xf>
    <xf numFmtId="0" fontId="0" fillId="13" borderId="29" xfId="0" applyFill="1" applyBorder="1" applyProtection="1">
      <protection locked="0"/>
    </xf>
    <xf numFmtId="0" fontId="0" fillId="11" borderId="0" xfId="0" applyFill="1" applyAlignment="1" applyProtection="1">
      <protection hidden="1"/>
    </xf>
    <xf numFmtId="0" fontId="0" fillId="11" borderId="17" xfId="0" applyNumberFormat="1" applyFont="1" applyFill="1" applyBorder="1" applyAlignment="1" applyProtection="1">
      <protection hidden="1"/>
    </xf>
    <xf numFmtId="0" fontId="0" fillId="11" borderId="15" xfId="0" applyNumberFormat="1" applyFont="1" applyFill="1" applyBorder="1" applyAlignment="1" applyProtection="1">
      <protection hidden="1"/>
    </xf>
    <xf numFmtId="0" fontId="0" fillId="11" borderId="19" xfId="0" applyNumberFormat="1" applyFont="1" applyFill="1" applyBorder="1" applyAlignment="1" applyProtection="1">
      <protection hidden="1"/>
    </xf>
    <xf numFmtId="0" fontId="15" fillId="11" borderId="23" xfId="0" applyFont="1" applyFill="1" applyBorder="1" applyAlignment="1" applyProtection="1">
      <protection hidden="1"/>
    </xf>
    <xf numFmtId="0" fontId="0" fillId="11" borderId="28" xfId="0" applyFill="1" applyBorder="1" applyAlignment="1" applyProtection="1">
      <alignment horizontal="center"/>
      <protection hidden="1"/>
    </xf>
    <xf numFmtId="0" fontId="0" fillId="11" borderId="62" xfId="0" applyFill="1" applyBorder="1" applyProtection="1">
      <protection hidden="1"/>
    </xf>
    <xf numFmtId="0" fontId="0" fillId="11" borderId="17" xfId="0" applyFill="1" applyBorder="1" applyAlignment="1" applyProtection="1">
      <alignment horizontal="left"/>
      <protection hidden="1"/>
    </xf>
    <xf numFmtId="0" fontId="0" fillId="13" borderId="66" xfId="0" applyFill="1" applyBorder="1" applyProtection="1">
      <protection locked="0"/>
    </xf>
    <xf numFmtId="165" fontId="0" fillId="11" borderId="27" xfId="0" applyNumberFormat="1" applyFill="1" applyBorder="1" applyProtection="1">
      <protection hidden="1"/>
    </xf>
    <xf numFmtId="0" fontId="5" fillId="11" borderId="0" xfId="0" applyFont="1" applyFill="1"/>
    <xf numFmtId="0" fontId="23" fillId="11" borderId="0" xfId="3" applyFont="1" applyFill="1" applyProtection="1">
      <protection hidden="1"/>
    </xf>
    <xf numFmtId="0" fontId="18" fillId="11" borderId="0" xfId="0" applyFont="1" applyFill="1" applyBorder="1" applyProtection="1">
      <protection hidden="1"/>
    </xf>
    <xf numFmtId="0" fontId="23" fillId="11" borderId="0" xfId="3" applyFont="1" applyFill="1" applyBorder="1" applyProtection="1">
      <protection hidden="1"/>
    </xf>
    <xf numFmtId="0" fontId="0" fillId="0" borderId="0" xfId="0" applyAlignment="1">
      <alignment horizontal="center"/>
    </xf>
    <xf numFmtId="0" fontId="0" fillId="11" borderId="0" xfId="0" applyFont="1" applyFill="1" applyBorder="1" applyProtection="1">
      <protection hidden="1"/>
    </xf>
    <xf numFmtId="0" fontId="0" fillId="11" borderId="0" xfId="0" applyFont="1" applyFill="1" applyProtection="1">
      <protection hidden="1"/>
    </xf>
    <xf numFmtId="2" fontId="0" fillId="11" borderId="1" xfId="0" applyNumberFormat="1" applyFont="1" applyFill="1" applyBorder="1" applyAlignment="1" applyProtection="1">
      <protection hidden="1"/>
    </xf>
    <xf numFmtId="165" fontId="0" fillId="11" borderId="17" xfId="0" applyNumberFormat="1" applyFont="1" applyFill="1" applyBorder="1" applyAlignment="1" applyProtection="1">
      <protection hidden="1"/>
    </xf>
    <xf numFmtId="165" fontId="0" fillId="11" borderId="6" xfId="0" applyNumberFormat="1" applyFont="1" applyFill="1" applyBorder="1" applyAlignment="1" applyProtection="1">
      <protection hidden="1"/>
    </xf>
    <xf numFmtId="0" fontId="0" fillId="11" borderId="30" xfId="0" applyNumberFormat="1" applyFont="1" applyFill="1" applyBorder="1" applyAlignment="1" applyProtection="1">
      <protection hidden="1"/>
    </xf>
    <xf numFmtId="0" fontId="0" fillId="0" borderId="1" xfId="0" applyFill="1" applyBorder="1" applyProtection="1"/>
    <xf numFmtId="165" fontId="0" fillId="11" borderId="1" xfId="0" applyNumberFormat="1" applyFill="1" applyBorder="1" applyProtection="1">
      <protection locked="0"/>
    </xf>
    <xf numFmtId="0" fontId="0" fillId="0" borderId="0" xfId="0" applyFill="1" applyBorder="1" applyAlignment="1">
      <alignment horizontal="center"/>
    </xf>
    <xf numFmtId="0" fontId="0" fillId="0" borderId="1" xfId="0" applyFill="1" applyBorder="1" applyAlignment="1">
      <alignment horizontal="center"/>
    </xf>
    <xf numFmtId="0" fontId="0" fillId="11" borderId="0" xfId="0" applyFill="1" applyBorder="1" applyProtection="1">
      <protection locked="0"/>
    </xf>
    <xf numFmtId="166" fontId="0" fillId="0" borderId="1" xfId="0" applyNumberFormat="1" applyBorder="1" applyAlignment="1">
      <alignment horizontal="center"/>
    </xf>
    <xf numFmtId="170" fontId="0" fillId="0" borderId="1" xfId="0" applyNumberFormat="1" applyFill="1" applyBorder="1" applyAlignment="1">
      <alignment horizontal="center"/>
    </xf>
    <xf numFmtId="0" fontId="0" fillId="0" borderId="50" xfId="0" applyFill="1" applyBorder="1" applyAlignment="1"/>
    <xf numFmtId="0" fontId="0" fillId="0" borderId="50" xfId="0" applyBorder="1"/>
    <xf numFmtId="0" fontId="0" fillId="0" borderId="6" xfId="0" applyFill="1" applyBorder="1" applyAlignment="1">
      <alignment horizontal="center"/>
    </xf>
    <xf numFmtId="0" fontId="5" fillId="0" borderId="7" xfId="0" applyFont="1" applyFill="1" applyBorder="1" applyAlignment="1">
      <alignment horizontal="center"/>
    </xf>
    <xf numFmtId="0" fontId="0" fillId="0" borderId="6" xfId="0" applyFill="1" applyBorder="1" applyAlignment="1"/>
    <xf numFmtId="0" fontId="0" fillId="0" borderId="8" xfId="0" applyFill="1" applyBorder="1" applyAlignment="1"/>
    <xf numFmtId="0" fontId="0" fillId="0" borderId="10" xfId="0" applyFill="1" applyBorder="1"/>
    <xf numFmtId="0" fontId="0" fillId="0" borderId="6" xfId="0" applyBorder="1" applyAlignment="1">
      <alignment horizontal="center"/>
    </xf>
    <xf numFmtId="0" fontId="0" fillId="0" borderId="7" xfId="0" applyBorder="1" applyAlignment="1">
      <alignment horizontal="center"/>
    </xf>
    <xf numFmtId="165" fontId="0" fillId="11" borderId="39" xfId="0" applyNumberFormat="1" applyFill="1" applyBorder="1" applyAlignment="1" applyProtection="1">
      <alignment horizontal="right"/>
      <protection hidden="1"/>
    </xf>
    <xf numFmtId="0" fontId="5" fillId="11" borderId="28" xfId="0" applyFont="1" applyFill="1" applyBorder="1" applyProtection="1">
      <protection hidden="1"/>
    </xf>
    <xf numFmtId="165" fontId="0" fillId="11" borderId="1" xfId="0" applyNumberFormat="1" applyFont="1" applyFill="1" applyBorder="1" applyAlignment="1" applyProtection="1">
      <protection hidden="1"/>
    </xf>
    <xf numFmtId="0" fontId="0" fillId="0" borderId="1" xfId="0" applyFill="1" applyBorder="1" applyProtection="1">
      <protection hidden="1"/>
    </xf>
    <xf numFmtId="0" fontId="10" fillId="2" borderId="0" xfId="0" applyFont="1" applyFill="1" applyAlignment="1">
      <alignment horizontal="left" vertical="center"/>
    </xf>
    <xf numFmtId="0" fontId="0" fillId="11" borderId="6" xfId="0" applyFill="1" applyBorder="1" applyAlignment="1" applyProtection="1">
      <alignment horizontal="center"/>
      <protection hidden="1"/>
    </xf>
    <xf numFmtId="0" fontId="0" fillId="11" borderId="7" xfId="0" applyFill="1" applyBorder="1" applyAlignment="1" applyProtection="1">
      <alignment horizontal="center"/>
      <protection hidden="1"/>
    </xf>
    <xf numFmtId="0" fontId="16" fillId="2" borderId="15" xfId="0" applyFont="1" applyFill="1" applyBorder="1" applyAlignment="1" applyProtection="1">
      <alignment horizontal="left" vertical="center"/>
      <protection hidden="1"/>
    </xf>
    <xf numFmtId="0" fontId="16" fillId="2" borderId="19" xfId="0" applyFont="1" applyFill="1" applyBorder="1" applyAlignment="1" applyProtection="1">
      <alignment horizontal="left" vertical="center"/>
      <protection hidden="1"/>
    </xf>
    <xf numFmtId="0" fontId="16" fillId="2" borderId="29" xfId="0" applyFont="1" applyFill="1" applyBorder="1" applyAlignment="1" applyProtection="1">
      <alignment horizontal="left" vertical="center"/>
      <protection hidden="1"/>
    </xf>
    <xf numFmtId="0" fontId="16" fillId="2" borderId="30" xfId="0" applyFont="1" applyFill="1" applyBorder="1" applyAlignment="1" applyProtection="1">
      <alignment horizontal="left" vertical="center"/>
      <protection hidden="1"/>
    </xf>
    <xf numFmtId="0" fontId="15" fillId="11" borderId="0" xfId="0" applyFont="1" applyFill="1" applyAlignment="1" applyProtection="1">
      <alignment horizontal="left"/>
      <protection hidden="1"/>
    </xf>
    <xf numFmtId="0" fontId="17" fillId="12" borderId="23" xfId="0" applyFont="1" applyFill="1" applyBorder="1" applyAlignment="1" applyProtection="1">
      <alignment horizontal="left"/>
      <protection hidden="1"/>
    </xf>
    <xf numFmtId="0" fontId="17" fillId="12" borderId="24" xfId="0" applyFont="1" applyFill="1" applyBorder="1" applyAlignment="1" applyProtection="1">
      <alignment horizontal="left"/>
      <protection hidden="1"/>
    </xf>
    <xf numFmtId="0" fontId="17" fillId="12" borderId="25" xfId="0" applyFont="1" applyFill="1" applyBorder="1" applyAlignment="1" applyProtection="1">
      <alignment horizontal="left"/>
      <protection hidden="1"/>
    </xf>
    <xf numFmtId="0" fontId="19" fillId="11" borderId="23" xfId="0" applyFont="1" applyFill="1" applyBorder="1" applyAlignment="1" applyProtection="1">
      <alignment horizontal="center"/>
      <protection hidden="1"/>
    </xf>
    <xf numFmtId="0" fontId="19" fillId="11" borderId="24" xfId="0" applyFont="1" applyFill="1" applyBorder="1" applyAlignment="1" applyProtection="1">
      <alignment horizontal="center"/>
      <protection hidden="1"/>
    </xf>
    <xf numFmtId="0" fontId="19" fillId="11" borderId="25" xfId="0" applyFont="1" applyFill="1" applyBorder="1" applyAlignment="1" applyProtection="1">
      <alignment horizontal="center"/>
      <protection hidden="1"/>
    </xf>
    <xf numFmtId="0" fontId="19" fillId="11" borderId="15" xfId="0" applyFont="1" applyFill="1" applyBorder="1" applyAlignment="1" applyProtection="1">
      <alignment horizontal="center" vertical="center"/>
      <protection hidden="1"/>
    </xf>
    <xf numFmtId="0" fontId="19" fillId="11" borderId="19" xfId="0" applyFont="1" applyFill="1" applyBorder="1" applyAlignment="1" applyProtection="1">
      <alignment horizontal="center" vertical="center"/>
      <protection hidden="1"/>
    </xf>
    <xf numFmtId="0" fontId="19" fillId="11" borderId="16" xfId="0" applyFont="1" applyFill="1" applyBorder="1" applyAlignment="1" applyProtection="1">
      <alignment horizontal="center" vertical="center"/>
      <protection hidden="1"/>
    </xf>
    <xf numFmtId="0" fontId="19" fillId="11" borderId="29" xfId="0" applyFont="1" applyFill="1" applyBorder="1" applyAlignment="1" applyProtection="1">
      <alignment horizontal="center" vertical="center"/>
      <protection hidden="1"/>
    </xf>
    <xf numFmtId="0" fontId="19" fillId="11" borderId="30" xfId="0" applyFont="1" applyFill="1" applyBorder="1" applyAlignment="1" applyProtection="1">
      <alignment horizontal="center" vertical="center"/>
      <protection hidden="1"/>
    </xf>
    <xf numFmtId="0" fontId="19" fillId="11" borderId="31" xfId="0" applyFont="1" applyFill="1" applyBorder="1" applyAlignment="1" applyProtection="1">
      <alignment horizontal="center" vertical="center"/>
      <protection hidden="1"/>
    </xf>
    <xf numFmtId="0" fontId="20" fillId="7" borderId="23" xfId="0" applyFont="1" applyFill="1" applyBorder="1" applyAlignment="1" applyProtection="1">
      <alignment horizontal="center" vertical="center"/>
      <protection hidden="1"/>
    </xf>
    <xf numFmtId="0" fontId="20" fillId="7" borderId="24" xfId="0" applyFont="1" applyFill="1" applyBorder="1" applyAlignment="1" applyProtection="1">
      <alignment horizontal="center" vertical="center"/>
      <protection hidden="1"/>
    </xf>
    <xf numFmtId="0" fontId="20" fillId="7" borderId="25" xfId="0" applyFont="1" applyFill="1" applyBorder="1" applyAlignment="1" applyProtection="1">
      <alignment horizontal="center" vertical="center"/>
      <protection hidden="1"/>
    </xf>
    <xf numFmtId="0" fontId="0" fillId="11" borderId="20" xfId="0" applyFill="1" applyBorder="1" applyAlignment="1" applyProtection="1">
      <alignment horizontal="right"/>
      <protection hidden="1"/>
    </xf>
    <xf numFmtId="0" fontId="0" fillId="11" borderId="58" xfId="0" applyFill="1" applyBorder="1" applyAlignment="1" applyProtection="1">
      <alignment horizontal="right"/>
      <protection hidden="1"/>
    </xf>
    <xf numFmtId="0" fontId="6" fillId="11" borderId="43" xfId="0" applyFont="1" applyFill="1" applyBorder="1" applyAlignment="1" applyProtection="1">
      <alignment horizontal="center"/>
      <protection hidden="1"/>
    </xf>
    <xf numFmtId="0" fontId="6" fillId="11" borderId="51" xfId="0" applyFont="1" applyFill="1" applyBorder="1" applyAlignment="1" applyProtection="1">
      <alignment horizontal="center"/>
      <protection hidden="1"/>
    </xf>
    <xf numFmtId="0" fontId="6" fillId="11" borderId="44" xfId="0" applyFont="1" applyFill="1" applyBorder="1" applyAlignment="1" applyProtection="1">
      <alignment horizontal="center"/>
      <protection hidden="1"/>
    </xf>
    <xf numFmtId="0" fontId="0" fillId="11" borderId="21" xfId="0" applyFill="1" applyBorder="1" applyAlignment="1" applyProtection="1">
      <alignment horizontal="right"/>
      <protection hidden="1"/>
    </xf>
    <xf numFmtId="0" fontId="0" fillId="11" borderId="49" xfId="0" applyFill="1" applyBorder="1" applyAlignment="1" applyProtection="1">
      <alignment horizontal="right"/>
      <protection hidden="1"/>
    </xf>
    <xf numFmtId="0" fontId="0" fillId="11" borderId="22" xfId="0" applyFill="1" applyBorder="1" applyAlignment="1" applyProtection="1">
      <alignment horizontal="right"/>
      <protection hidden="1"/>
    </xf>
    <xf numFmtId="0" fontId="0" fillId="11" borderId="57" xfId="0" applyFill="1" applyBorder="1" applyAlignment="1" applyProtection="1">
      <alignment horizontal="right"/>
      <protection hidden="1"/>
    </xf>
    <xf numFmtId="0" fontId="7" fillId="12" borderId="15" xfId="0" applyFont="1" applyFill="1" applyBorder="1" applyAlignment="1" applyProtection="1">
      <alignment horizontal="center" vertical="center" wrapText="1"/>
      <protection hidden="1"/>
    </xf>
    <xf numFmtId="0" fontId="21" fillId="12" borderId="16" xfId="0" applyFont="1" applyFill="1" applyBorder="1" applyAlignment="1" applyProtection="1">
      <alignment horizontal="center" vertical="center" wrapText="1"/>
      <protection hidden="1"/>
    </xf>
    <xf numFmtId="0" fontId="0" fillId="11" borderId="3"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19" fillId="11" borderId="23" xfId="0" applyFont="1" applyFill="1" applyBorder="1" applyAlignment="1" applyProtection="1">
      <alignment horizontal="center" vertical="top" wrapText="1"/>
      <protection hidden="1"/>
    </xf>
    <xf numFmtId="0" fontId="19" fillId="11" borderId="24" xfId="0" applyFont="1" applyFill="1" applyBorder="1" applyAlignment="1" applyProtection="1">
      <alignment horizontal="center" vertical="top" wrapText="1"/>
      <protection hidden="1"/>
    </xf>
    <xf numFmtId="0" fontId="19" fillId="11" borderId="25" xfId="0" applyFont="1" applyFill="1" applyBorder="1" applyAlignment="1" applyProtection="1">
      <alignment horizontal="center" vertical="top" wrapText="1"/>
      <protection hidden="1"/>
    </xf>
    <xf numFmtId="0" fontId="0" fillId="11" borderId="8" xfId="0" applyFill="1" applyBorder="1" applyAlignment="1" applyProtection="1">
      <alignment horizontal="center"/>
      <protection hidden="1"/>
    </xf>
    <xf numFmtId="0" fontId="0" fillId="11" borderId="10" xfId="0" applyFill="1" applyBorder="1" applyAlignment="1" applyProtection="1">
      <alignment horizontal="center"/>
      <protection hidden="1"/>
    </xf>
    <xf numFmtId="0" fontId="11" fillId="2" borderId="0" xfId="0" applyFont="1" applyFill="1" applyAlignment="1" applyProtection="1">
      <alignment horizontal="left"/>
      <protection hidden="1"/>
    </xf>
    <xf numFmtId="0" fontId="15" fillId="11" borderId="23" xfId="0" applyFont="1" applyFill="1" applyBorder="1" applyAlignment="1" applyProtection="1">
      <alignment horizontal="center"/>
      <protection hidden="1"/>
    </xf>
    <xf numFmtId="0" fontId="15" fillId="11" borderId="24" xfId="0" applyFont="1" applyFill="1" applyBorder="1" applyAlignment="1" applyProtection="1">
      <alignment horizontal="center"/>
      <protection hidden="1"/>
    </xf>
    <xf numFmtId="0" fontId="15" fillId="11" borderId="25" xfId="0" applyFont="1" applyFill="1" applyBorder="1" applyAlignment="1" applyProtection="1">
      <alignment horizontal="center"/>
      <protection hidden="1"/>
    </xf>
    <xf numFmtId="0" fontId="15" fillId="11" borderId="19" xfId="0" applyFont="1" applyFill="1" applyBorder="1" applyAlignment="1" applyProtection="1">
      <alignment horizontal="center"/>
      <protection hidden="1"/>
    </xf>
    <xf numFmtId="0" fontId="15" fillId="11" borderId="16" xfId="0" applyFont="1" applyFill="1" applyBorder="1" applyAlignment="1" applyProtection="1">
      <alignment horizontal="center"/>
      <protection hidden="1"/>
    </xf>
    <xf numFmtId="173" fontId="0" fillId="11" borderId="3" xfId="0" applyNumberFormat="1" applyFill="1" applyBorder="1" applyAlignment="1" applyProtection="1">
      <alignment horizontal="center"/>
      <protection hidden="1"/>
    </xf>
    <xf numFmtId="173" fontId="0" fillId="11" borderId="5" xfId="0" applyNumberFormat="1" applyFill="1" applyBorder="1" applyAlignment="1" applyProtection="1">
      <alignment horizontal="center"/>
      <protection hidden="1"/>
    </xf>
    <xf numFmtId="173" fontId="0" fillId="11" borderId="6" xfId="0" applyNumberFormat="1" applyFill="1" applyBorder="1" applyAlignment="1" applyProtection="1">
      <alignment horizontal="center"/>
      <protection hidden="1"/>
    </xf>
    <xf numFmtId="173" fontId="0" fillId="11" borderId="7" xfId="0" applyNumberFormat="1" applyFill="1" applyBorder="1" applyAlignment="1" applyProtection="1">
      <alignment horizontal="center"/>
      <protection hidden="1"/>
    </xf>
    <xf numFmtId="0" fontId="0" fillId="13" borderId="8" xfId="0" applyFill="1" applyBorder="1" applyAlignment="1" applyProtection="1">
      <alignment horizontal="center"/>
      <protection locked="0"/>
    </xf>
    <xf numFmtId="0" fontId="0" fillId="13" borderId="10" xfId="0" applyFill="1" applyBorder="1" applyAlignment="1" applyProtection="1">
      <alignment horizontal="center"/>
      <protection locked="0"/>
    </xf>
    <xf numFmtId="0" fontId="0" fillId="11" borderId="23" xfId="0" applyFont="1" applyFill="1" applyBorder="1" applyAlignment="1" applyProtection="1">
      <alignment horizontal="left"/>
      <protection hidden="1"/>
    </xf>
    <xf numFmtId="0" fontId="0" fillId="11" borderId="24" xfId="0" applyFont="1" applyFill="1" applyBorder="1" applyAlignment="1" applyProtection="1">
      <alignment horizontal="left"/>
      <protection hidden="1"/>
    </xf>
    <xf numFmtId="0" fontId="0" fillId="11" borderId="25" xfId="0" applyFont="1" applyFill="1" applyBorder="1" applyAlignment="1" applyProtection="1">
      <alignment horizontal="left"/>
      <protection hidden="1"/>
    </xf>
    <xf numFmtId="0" fontId="0" fillId="11" borderId="19" xfId="0" applyFont="1" applyFill="1" applyBorder="1" applyAlignment="1" applyProtection="1">
      <alignment horizontal="left"/>
      <protection hidden="1"/>
    </xf>
    <xf numFmtId="0" fontId="0" fillId="11" borderId="16" xfId="0" applyFont="1" applyFill="1" applyBorder="1" applyAlignment="1" applyProtection="1">
      <alignment horizontal="left"/>
      <protection hidden="1"/>
    </xf>
    <xf numFmtId="0" fontId="20" fillId="11" borderId="0" xfId="0" applyFont="1" applyFill="1" applyAlignment="1" applyProtection="1">
      <alignment horizontal="center"/>
      <protection hidden="1"/>
    </xf>
    <xf numFmtId="0" fontId="0" fillId="11" borderId="0" xfId="0" applyFill="1" applyBorder="1" applyAlignment="1" applyProtection="1">
      <alignment horizontal="center"/>
      <protection hidden="1"/>
    </xf>
    <xf numFmtId="0" fontId="0" fillId="0" borderId="15" xfId="0" applyBorder="1" applyAlignment="1">
      <alignment horizontal="center"/>
    </xf>
    <xf numFmtId="0" fontId="0" fillId="0" borderId="19" xfId="0" applyBorder="1" applyAlignment="1">
      <alignment horizontal="center"/>
    </xf>
    <xf numFmtId="0" fontId="0" fillId="0" borderId="16"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7" borderId="30" xfId="0" applyFill="1" applyBorder="1" applyAlignment="1">
      <alignment horizontal="center"/>
    </xf>
    <xf numFmtId="0" fontId="0" fillId="5" borderId="30" xfId="0" applyFill="1" applyBorder="1" applyAlignment="1">
      <alignment horizontal="center"/>
    </xf>
    <xf numFmtId="0" fontId="0" fillId="0" borderId="30"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11" borderId="2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3" xfId="0" applyFill="1" applyBorder="1" applyAlignment="1" applyProtection="1">
      <alignment horizontal="left"/>
      <protection hidden="1"/>
    </xf>
    <xf numFmtId="0" fontId="0" fillId="11" borderId="24" xfId="0" applyFill="1" applyBorder="1" applyAlignment="1" applyProtection="1">
      <alignment horizontal="left"/>
      <protection hidden="1"/>
    </xf>
    <xf numFmtId="0" fontId="0" fillId="11" borderId="25" xfId="0" applyFill="1" applyBorder="1" applyAlignment="1" applyProtection="1">
      <alignment horizontal="left"/>
      <protection hidden="1"/>
    </xf>
    <xf numFmtId="0" fontId="0" fillId="11" borderId="24" xfId="0" applyFill="1" applyBorder="1" applyAlignment="1" applyProtection="1">
      <alignment horizontal="center"/>
      <protection hidden="1"/>
    </xf>
    <xf numFmtId="0" fontId="0" fillId="11" borderId="0" xfId="0" applyFill="1" applyAlignment="1" applyProtection="1">
      <alignment horizontal="left"/>
      <protection hidden="1"/>
    </xf>
    <xf numFmtId="0" fontId="15" fillId="11" borderId="15" xfId="0" applyFont="1" applyFill="1" applyBorder="1" applyAlignment="1" applyProtection="1">
      <alignment horizontal="center"/>
      <protection hidden="1"/>
    </xf>
    <xf numFmtId="176" fontId="0" fillId="11" borderId="39" xfId="0" applyNumberFormat="1" applyFill="1" applyBorder="1" applyAlignment="1" applyProtection="1">
      <alignment horizontal="center"/>
      <protection hidden="1"/>
    </xf>
    <xf numFmtId="176" fontId="0" fillId="11" borderId="28" xfId="0" applyNumberFormat="1" applyFill="1" applyBorder="1" applyAlignment="1" applyProtection="1">
      <alignment horizontal="center"/>
      <protection hidden="1"/>
    </xf>
    <xf numFmtId="175" fontId="0" fillId="11" borderId="1" xfId="0" applyNumberFormat="1" applyFill="1" applyBorder="1" applyAlignment="1" applyProtection="1">
      <alignment horizontal="center"/>
      <protection hidden="1"/>
    </xf>
    <xf numFmtId="175" fontId="0" fillId="11" borderId="7" xfId="0" applyNumberFormat="1" applyFill="1" applyBorder="1" applyAlignment="1" applyProtection="1">
      <alignment horizontal="center"/>
      <protection hidden="1"/>
    </xf>
    <xf numFmtId="176" fontId="0" fillId="11" borderId="1" xfId="0" applyNumberFormat="1" applyFill="1" applyBorder="1" applyAlignment="1" applyProtection="1">
      <alignment horizontal="center"/>
      <protection hidden="1"/>
    </xf>
    <xf numFmtId="176" fontId="0" fillId="11" borderId="7" xfId="0" applyNumberFormat="1" applyFill="1" applyBorder="1" applyAlignment="1" applyProtection="1">
      <alignment horizontal="center"/>
      <protection hidden="1"/>
    </xf>
    <xf numFmtId="0" fontId="0" fillId="11" borderId="9" xfId="0" applyFill="1" applyBorder="1" applyAlignment="1" applyProtection="1">
      <alignment horizontal="center"/>
      <protection hidden="1"/>
    </xf>
    <xf numFmtId="0" fontId="0" fillId="0" borderId="54" xfId="0" applyFill="1" applyBorder="1" applyAlignment="1">
      <alignment horizontal="center"/>
    </xf>
    <xf numFmtId="0" fontId="0" fillId="0" borderId="0" xfId="0" applyFill="1" applyBorder="1" applyAlignment="1">
      <alignment horizontal="center"/>
    </xf>
    <xf numFmtId="0" fontId="0" fillId="0" borderId="52" xfId="0" applyBorder="1" applyAlignment="1">
      <alignment horizontal="center"/>
    </xf>
    <xf numFmtId="0" fontId="0" fillId="0" borderId="21" xfId="0" applyFill="1" applyBorder="1" applyAlignment="1">
      <alignment horizontal="center"/>
    </xf>
    <xf numFmtId="0" fontId="0" fillId="0" borderId="2" xfId="0" applyFill="1" applyBorder="1" applyAlignment="1">
      <alignment horizontal="center"/>
    </xf>
    <xf numFmtId="0" fontId="0" fillId="0" borderId="49"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0" xfId="0" applyFill="1" applyBorder="1" applyAlignment="1">
      <alignment horizontal="center"/>
    </xf>
    <xf numFmtId="0" fontId="0" fillId="0" borderId="25" xfId="0" applyBorder="1" applyAlignment="1">
      <alignment horizontal="center"/>
    </xf>
    <xf numFmtId="165" fontId="0" fillId="0" borderId="15" xfId="0" applyNumberFormat="1" applyBorder="1" applyAlignment="1">
      <alignment horizontal="center"/>
    </xf>
    <xf numFmtId="165" fontId="0" fillId="0" borderId="16" xfId="0" applyNumberFormat="1" applyBorder="1" applyAlignment="1">
      <alignment horizontal="center"/>
    </xf>
    <xf numFmtId="165" fontId="0" fillId="0" borderId="0" xfId="0" applyNumberFormat="1" applyAlignment="1">
      <alignment horizontal="center"/>
    </xf>
    <xf numFmtId="0" fontId="11" fillId="2" borderId="0" xfId="0" applyFont="1" applyFill="1" applyAlignment="1" applyProtection="1">
      <alignment horizontal="left" vertical="center"/>
      <protection hidden="1"/>
    </xf>
    <xf numFmtId="176" fontId="0" fillId="11" borderId="4" xfId="0" applyNumberFormat="1" applyFill="1" applyBorder="1" applyAlignment="1" applyProtection="1">
      <alignment horizontal="center"/>
      <protection hidden="1"/>
    </xf>
    <xf numFmtId="176" fontId="0" fillId="11" borderId="5" xfId="0" applyNumberFormat="1" applyFill="1" applyBorder="1" applyAlignment="1" applyProtection="1">
      <alignment horizontal="center"/>
      <protection hidden="1"/>
    </xf>
    <xf numFmtId="0" fontId="15" fillId="11" borderId="63" xfId="0" applyFont="1" applyFill="1" applyBorder="1" applyAlignment="1" applyProtection="1">
      <alignment horizontal="center"/>
      <protection hidden="1"/>
    </xf>
    <xf numFmtId="0" fontId="15" fillId="11" borderId="64" xfId="0" applyFont="1" applyFill="1" applyBorder="1" applyAlignment="1" applyProtection="1">
      <alignment horizontal="center"/>
      <protection hidden="1"/>
    </xf>
    <xf numFmtId="0" fontId="15" fillId="11" borderId="65" xfId="0" applyFont="1" applyFill="1" applyBorder="1" applyAlignment="1" applyProtection="1">
      <alignment horizontal="center"/>
      <protection hidden="1"/>
    </xf>
    <xf numFmtId="0" fontId="0" fillId="13" borderId="26" xfId="0" applyFill="1" applyBorder="1" applyAlignment="1" applyProtection="1">
      <alignment horizontal="center"/>
      <protection locked="0"/>
    </xf>
    <xf numFmtId="0" fontId="0" fillId="13" borderId="57" xfId="0" applyFill="1" applyBorder="1" applyAlignment="1" applyProtection="1">
      <alignment horizontal="center"/>
      <protection locked="0"/>
    </xf>
    <xf numFmtId="0" fontId="0" fillId="11" borderId="43" xfId="0" applyFill="1" applyBorder="1" applyAlignment="1" applyProtection="1">
      <alignment horizontal="left"/>
      <protection hidden="1"/>
    </xf>
    <xf numFmtId="0" fontId="0" fillId="11" borderId="51" xfId="0" applyFill="1" applyBorder="1" applyAlignment="1" applyProtection="1">
      <alignment horizontal="left"/>
      <protection hidden="1"/>
    </xf>
    <xf numFmtId="0" fontId="0" fillId="11" borderId="44" xfId="0" applyFill="1" applyBorder="1" applyAlignment="1" applyProtection="1">
      <alignment horizontal="left"/>
      <protection hidden="1"/>
    </xf>
    <xf numFmtId="0" fontId="0" fillId="7" borderId="24" xfId="0" applyFill="1" applyBorder="1" applyAlignment="1">
      <alignment horizontal="center"/>
    </xf>
    <xf numFmtId="0" fontId="0" fillId="0" borderId="1" xfId="0" applyFill="1" applyBorder="1" applyAlignment="1">
      <alignment horizontal="center"/>
    </xf>
    <xf numFmtId="165" fontId="0" fillId="0" borderId="19" xfId="0" applyNumberFormat="1" applyBorder="1" applyAlignment="1">
      <alignment horizontal="center"/>
    </xf>
    <xf numFmtId="0" fontId="0" fillId="6" borderId="0" xfId="0" applyFill="1" applyAlignment="1">
      <alignment horizontal="center"/>
    </xf>
    <xf numFmtId="0" fontId="0" fillId="5" borderId="0" xfId="0" applyFill="1" applyBorder="1" applyAlignment="1">
      <alignment horizontal="left"/>
    </xf>
    <xf numFmtId="0" fontId="0" fillId="5" borderId="15" xfId="0" applyFill="1" applyBorder="1" applyAlignment="1">
      <alignment horizontal="left"/>
    </xf>
    <xf numFmtId="0" fontId="5" fillId="0" borderId="0" xfId="0" applyFont="1" applyBorder="1" applyAlignment="1">
      <alignment horizontal="center"/>
    </xf>
    <xf numFmtId="0" fontId="0" fillId="0" borderId="18" xfId="0" applyBorder="1" applyAlignment="1">
      <alignment horizontal="center"/>
    </xf>
    <xf numFmtId="0" fontId="22" fillId="0" borderId="0" xfId="0" applyFont="1" applyAlignment="1">
      <alignment horizontal="left" vertical="center"/>
    </xf>
    <xf numFmtId="0" fontId="15" fillId="11" borderId="0" xfId="0" applyFont="1" applyFill="1" applyAlignment="1">
      <alignment horizontal="left"/>
    </xf>
    <xf numFmtId="0" fontId="14" fillId="0" borderId="0" xfId="4" applyAlignment="1">
      <alignment horizontal="center"/>
    </xf>
  </cellXfs>
  <cellStyles count="6">
    <cellStyle name="Good" xfId="2" builtinId="26"/>
    <cellStyle name="Hyperlink" xfId="3" builtinId="8"/>
    <cellStyle name="Normal" xfId="0" builtinId="0"/>
    <cellStyle name="Normal 2" xfId="4"/>
    <cellStyle name="Percent" xfId="1" builtinId="5"/>
    <cellStyle name="Percent 2" xfId="5"/>
  </cellStyles>
  <dxfs count="24">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font>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theme="0" tint="-0.14996795556505021"/>
        </patternFill>
      </fill>
    </dxf>
    <dxf>
      <fill>
        <patternFill>
          <bgColor rgb="FFFF0000"/>
        </patternFill>
      </fill>
    </dxf>
    <dxf>
      <fill>
        <patternFill>
          <bgColor rgb="FF00B05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Selected Turns Ratio</a:t>
            </a:r>
            <a:endParaRPr lang="en-US"/>
          </a:p>
        </c:rich>
      </c:tx>
      <c:overlay val="0"/>
    </c:title>
    <c:autoTitleDeleted val="0"/>
    <c:plotArea>
      <c:layout>
        <c:manualLayout>
          <c:layoutTarget val="inner"/>
          <c:xMode val="edge"/>
          <c:yMode val="edge"/>
          <c:x val="0.1366544901769747"/>
          <c:y val="0.14595060372916444"/>
          <c:w val="0.66476075896977127"/>
          <c:h val="0.76715500312721052"/>
        </c:manualLayout>
      </c:layout>
      <c:barChart>
        <c:barDir val="col"/>
        <c:grouping val="clustered"/>
        <c:varyColors val="0"/>
        <c:ser>
          <c:idx val="0"/>
          <c:order val="0"/>
          <c:tx>
            <c:v>Fly-Buck</c:v>
          </c:tx>
          <c:invertIfNegative val="0"/>
          <c:cat>
            <c:strLit>
              <c:ptCount val="6"/>
              <c:pt idx="0">
                <c:v>Vout1</c:v>
              </c:pt>
              <c:pt idx="1">
                <c:v>Vout2</c:v>
              </c:pt>
              <c:pt idx="2">
                <c:v>Vout3</c:v>
              </c:pt>
              <c:pt idx="3">
                <c:v>Vout4</c:v>
              </c:pt>
              <c:pt idx="4">
                <c:v>Vout5</c:v>
              </c:pt>
              <c:pt idx="5">
                <c:v>Vout6</c:v>
              </c:pt>
            </c:strLit>
          </c:cat>
          <c:val>
            <c:numRef>
              <c:f>'Fly-Buck'!$B$15:$B$20</c:f>
              <c:numCache>
                <c:formatCode>0.000</c:formatCode>
                <c:ptCount val="6"/>
                <c:pt idx="0">
                  <c:v>1.02</c:v>
                </c:pt>
                <c:pt idx="1">
                  <c:v>0</c:v>
                </c:pt>
                <c:pt idx="2">
                  <c:v>0</c:v>
                </c:pt>
                <c:pt idx="3">
                  <c:v>0</c:v>
                </c:pt>
                <c:pt idx="4">
                  <c:v>0</c:v>
                </c:pt>
                <c:pt idx="5">
                  <c:v>0</c:v>
                </c:pt>
              </c:numCache>
            </c:numRef>
          </c:val>
        </c:ser>
        <c:ser>
          <c:idx val="1"/>
          <c:order val="1"/>
          <c:tx>
            <c:v>Fly-Buck-Boost</c:v>
          </c:tx>
          <c:invertIfNegative val="0"/>
          <c:cat>
            <c:strLit>
              <c:ptCount val="6"/>
              <c:pt idx="0">
                <c:v>Vout1</c:v>
              </c:pt>
              <c:pt idx="1">
                <c:v>Vout2</c:v>
              </c:pt>
              <c:pt idx="2">
                <c:v>Vout3</c:v>
              </c:pt>
              <c:pt idx="3">
                <c:v>Vout4</c:v>
              </c:pt>
              <c:pt idx="4">
                <c:v>Vout5</c:v>
              </c:pt>
              <c:pt idx="5">
                <c:v>Vout6</c:v>
              </c:pt>
            </c:strLit>
          </c:cat>
          <c:val>
            <c:numRef>
              <c:f>'Fly-Buck-Boost'!$B$16:$B$21</c:f>
              <c:numCache>
                <c:formatCode>0.000</c:formatCode>
                <c:ptCount val="6"/>
                <c:pt idx="0">
                  <c:v>1.02</c:v>
                </c:pt>
                <c:pt idx="1">
                  <c:v>0</c:v>
                </c:pt>
                <c:pt idx="2">
                  <c:v>0</c:v>
                </c:pt>
                <c:pt idx="3">
                  <c:v>0</c:v>
                </c:pt>
                <c:pt idx="4">
                  <c:v>0</c:v>
                </c:pt>
                <c:pt idx="5">
                  <c:v>0</c:v>
                </c:pt>
              </c:numCache>
            </c:numRef>
          </c:val>
        </c:ser>
        <c:ser>
          <c:idx val="2"/>
          <c:order val="2"/>
          <c:tx>
            <c:v>Flyback</c:v>
          </c:tx>
          <c:invertIfNegative val="0"/>
          <c:cat>
            <c:strLit>
              <c:ptCount val="6"/>
              <c:pt idx="0">
                <c:v>Vout1</c:v>
              </c:pt>
              <c:pt idx="1">
                <c:v>Vout2</c:v>
              </c:pt>
              <c:pt idx="2">
                <c:v>Vout3</c:v>
              </c:pt>
              <c:pt idx="3">
                <c:v>Vout4</c:v>
              </c:pt>
              <c:pt idx="4">
                <c:v>Vout5</c:v>
              </c:pt>
              <c:pt idx="5">
                <c:v>Vout6</c:v>
              </c:pt>
            </c:strLit>
          </c:cat>
          <c:val>
            <c:numRef>
              <c:f>'Flyback CCM'!$B$16:$B$21</c:f>
              <c:numCache>
                <c:formatCode>0.000</c:formatCode>
                <c:ptCount val="6"/>
                <c:pt idx="0">
                  <c:v>2.5500000000000003</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4926336"/>
        <c:axId val="114927872"/>
      </c:barChart>
      <c:catAx>
        <c:axId val="114926336"/>
        <c:scaling>
          <c:orientation val="minMax"/>
        </c:scaling>
        <c:delete val="0"/>
        <c:axPos val="b"/>
        <c:majorTickMark val="out"/>
        <c:minorTickMark val="none"/>
        <c:tickLblPos val="nextTo"/>
        <c:crossAx val="114927872"/>
        <c:crosses val="autoZero"/>
        <c:auto val="1"/>
        <c:lblAlgn val="ctr"/>
        <c:lblOffset val="100"/>
        <c:noMultiLvlLbl val="0"/>
      </c:catAx>
      <c:valAx>
        <c:axId val="114927872"/>
        <c:scaling>
          <c:orientation val="minMax"/>
        </c:scaling>
        <c:delete val="0"/>
        <c:axPos val="l"/>
        <c:majorGridlines/>
        <c:title>
          <c:tx>
            <c:rich>
              <a:bodyPr rot="-5400000" vert="horz"/>
              <a:lstStyle/>
              <a:p>
                <a:pPr>
                  <a:defRPr/>
                </a:pPr>
                <a:r>
                  <a:rPr lang="en-US"/>
                  <a:t>Ns/Np</a:t>
                </a:r>
              </a:p>
            </c:rich>
          </c:tx>
          <c:overlay val="0"/>
        </c:title>
        <c:numFmt formatCode="0.000" sourceLinked="1"/>
        <c:majorTickMark val="out"/>
        <c:minorTickMark val="none"/>
        <c:tickLblPos val="nextTo"/>
        <c:crossAx val="1149263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'Fly-Buck_Calc'!$V$4:$V$54</c:f>
              <c:numCache>
                <c:formatCode>General</c:formatCode>
                <c:ptCount val="51"/>
                <c:pt idx="0">
                  <c:v>0.97494657973313248</c:v>
                </c:pt>
                <c:pt idx="1">
                  <c:v>0.82649060255015816</c:v>
                </c:pt>
                <c:pt idx="2">
                  <c:v>0.73096172664378789</c:v>
                </c:pt>
                <c:pt idx="3">
                  <c:v>0.66509487431884806</c:v>
                </c:pt>
                <c:pt idx="4">
                  <c:v>0.61698481504814329</c:v>
                </c:pt>
                <c:pt idx="5">
                  <c:v>0.58012136486973587</c:v>
                </c:pt>
                <c:pt idx="6">
                  <c:v>0.55074200876519019</c:v>
                </c:pt>
                <c:pt idx="7">
                  <c:v>0.52656490560874281</c:v>
                </c:pt>
                <c:pt idx="8">
                  <c:v>0.50614562558278198</c:v>
                </c:pt>
                <c:pt idx="9">
                  <c:v>0.48853398791110486</c:v>
                </c:pt>
                <c:pt idx="10">
                  <c:v>0.47308290596976432</c:v>
                </c:pt>
                <c:pt idx="11">
                  <c:v>0.45933771431968279</c:v>
                </c:pt>
                <c:pt idx="12">
                  <c:v>0.44696981584018441</c:v>
                </c:pt>
                <c:pt idx="13">
                  <c:v>0.43573561586488846</c:v>
                </c:pt>
                <c:pt idx="14">
                  <c:v>0.42545035695004196</c:v>
                </c:pt>
                <c:pt idx="15">
                  <c:v>0.41597099711246299</c:v>
                </c:pt>
                <c:pt idx="16">
                  <c:v>0.40718472765747515</c:v>
                </c:pt>
                <c:pt idx="17">
                  <c:v>0.39900109695275515</c:v>
                </c:pt>
                <c:pt idx="18">
                  <c:v>0.39134649373564023</c:v>
                </c:pt>
                <c:pt idx="19">
                  <c:v>0.38416020777266846</c:v>
                </c:pt>
                <c:pt idx="20">
                  <c:v>0.37739156614142766</c:v>
                </c:pt>
                <c:pt idx="21">
                  <c:v>0.37099781667519927</c:v>
                </c:pt>
                <c:pt idx="22">
                  <c:v>0.36494253942139537</c:v>
                </c:pt>
                <c:pt idx="23">
                  <c:v>0.35919443728194966</c:v>
                </c:pt>
                <c:pt idx="24">
                  <c:v>0.35372640306882219</c:v>
                </c:pt>
                <c:pt idx="25">
                  <c:v>0.3485147909043293</c:v>
                </c:pt>
                <c:pt idx="26">
                  <c:v>0.34353884068147456</c:v>
                </c:pt>
                <c:pt idx="27">
                  <c:v>0.3387802185871906</c:v>
                </c:pt>
                <c:pt idx="28">
                  <c:v>0.33422264665273632</c:v>
                </c:pt>
                <c:pt idx="29">
                  <c:v>0.32985160133380392</c:v>
                </c:pt>
                <c:pt idx="30">
                  <c:v>0.32565406615896497</c:v>
                </c:pt>
                <c:pt idx="31">
                  <c:v>0.32161832713166594</c:v>
                </c:pt>
                <c:pt idx="32">
                  <c:v>0.317733802241353</c:v>
                </c:pt>
                <c:pt idx="33">
                  <c:v>0.31399089841576039</c:v>
                </c:pt>
                <c:pt idx="34">
                  <c:v>0.31038089072411801</c:v>
                </c:pt>
                <c:pt idx="35">
                  <c:v>0.30689581975650299</c:v>
                </c:pt>
                <c:pt idx="36">
                  <c:v>0.30352840395427244</c:v>
                </c:pt>
                <c:pt idx="37">
                  <c:v>0.30027196431940101</c:v>
                </c:pt>
                <c:pt idx="38">
                  <c:v>0.2971203594363277</c:v>
                </c:pt>
                <c:pt idx="39">
                  <c:v>0.29406792913480467</c:v>
                </c:pt>
                <c:pt idx="40">
                  <c:v>0.29110944543284456</c:v>
                </c:pt>
                <c:pt idx="41">
                  <c:v>0.2882400696448974</c:v>
                </c:pt>
                <c:pt idx="42">
                  <c:v>0.2854553147365938</c:v>
                </c:pt>
                <c:pt idx="43">
                  <c:v>0.28275101216485632</c:v>
                </c:pt>
                <c:pt idx="44">
                  <c:v>0.28012328256933328</c:v>
                </c:pt>
                <c:pt idx="45">
                  <c:v>0.27756850978437336</c:v>
                </c:pt>
                <c:pt idx="46">
                  <c:v>0.27508331772509764</c:v>
                </c:pt>
                <c:pt idx="47">
                  <c:v>0.27266454977036086</c:v>
                </c:pt>
                <c:pt idx="48">
                  <c:v>0.27030925032252423</c:v>
                </c:pt>
                <c:pt idx="49">
                  <c:v>0.26801464827132832</c:v>
                </c:pt>
                <c:pt idx="50">
                  <c:v>0.26577814212860568</c:v>
                </c:pt>
              </c:numCache>
            </c:numRef>
          </c:yVal>
          <c:smooth val="1"/>
        </c:ser>
        <c:dLbls>
          <c:showLegendKey val="0"/>
          <c:showVal val="0"/>
          <c:showCatName val="0"/>
          <c:showSerName val="0"/>
          <c:showPercent val="0"/>
          <c:showBubbleSize val="0"/>
        </c:dLbls>
        <c:axId val="117207424"/>
        <c:axId val="117209344"/>
      </c:scatterChart>
      <c:valAx>
        <c:axId val="11720742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7209344"/>
        <c:crosses val="autoZero"/>
        <c:crossBetween val="midCat"/>
      </c:valAx>
      <c:valAx>
        <c:axId val="117209344"/>
        <c:scaling>
          <c:orientation val="minMax"/>
        </c:scaling>
        <c:delete val="0"/>
        <c:axPos val="l"/>
        <c:majorGridlines/>
        <c:title>
          <c:tx>
            <c:rich>
              <a:bodyPr rot="-5400000" vert="horz"/>
              <a:lstStyle/>
              <a:p>
                <a:pPr>
                  <a:defRPr/>
                </a:pPr>
                <a:r>
                  <a:rPr lang="en-US" baseline="0"/>
                  <a:t>Primary RMS Current (A)</a:t>
                </a:r>
                <a:endParaRPr lang="en-US"/>
              </a:p>
            </c:rich>
          </c:tx>
          <c:overlay val="0"/>
        </c:title>
        <c:numFmt formatCode="General" sourceLinked="0"/>
        <c:majorTickMark val="out"/>
        <c:minorTickMark val="none"/>
        <c:tickLblPos val="nextTo"/>
        <c:crossAx val="117207424"/>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 Power Efficiency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'Fly-Buck_Calc'!$CU$4:$CU$54</c:f>
              <c:numCache>
                <c:formatCode>##0.0E+0</c:formatCode>
                <c:ptCount val="51"/>
                <c:pt idx="0">
                  <c:v>0.89704870974493922</c:v>
                </c:pt>
                <c:pt idx="1">
                  <c:v>0.91339340813645697</c:v>
                </c:pt>
                <c:pt idx="2">
                  <c:v>0.92362372995904563</c:v>
                </c:pt>
                <c:pt idx="3">
                  <c:v>0.9302715978719146</c:v>
                </c:pt>
                <c:pt idx="4">
                  <c:v>0.93469281832946882</c:v>
                </c:pt>
                <c:pt idx="5">
                  <c:v>0.93766207787717326</c:v>
                </c:pt>
                <c:pt idx="6">
                  <c:v>0.93964642052255543</c:v>
                </c:pt>
                <c:pt idx="7">
                  <c:v>0.94094031274212797</c:v>
                </c:pt>
                <c:pt idx="8">
                  <c:v>0.94173656079406831</c:v>
                </c:pt>
                <c:pt idx="9">
                  <c:v>0.94216554188938662</c:v>
                </c:pt>
                <c:pt idx="10">
                  <c:v>0.94231790075161714</c:v>
                </c:pt>
                <c:pt idx="11">
                  <c:v>0.9422581988022557</c:v>
                </c:pt>
                <c:pt idx="12">
                  <c:v>0.94203340424911963</c:v>
                </c:pt>
                <c:pt idx="13">
                  <c:v>0.9416783320053107</c:v>
                </c:pt>
                <c:pt idx="14">
                  <c:v>0.94121922186040707</c:v>
                </c:pt>
                <c:pt idx="15">
                  <c:v>0.94067614766223395</c:v>
                </c:pt>
                <c:pt idx="16">
                  <c:v>0.94006467369732927</c:v>
                </c:pt>
                <c:pt idx="17">
                  <c:v>0.93939701515008378</c:v>
                </c:pt>
                <c:pt idx="18">
                  <c:v>0.93868286509711529</c:v>
                </c:pt>
                <c:pt idx="19">
                  <c:v>0.93792999306529756</c:v>
                </c:pt>
                <c:pt idx="20">
                  <c:v>0.93714468442736343</c:v>
                </c:pt>
                <c:pt idx="21">
                  <c:v>0.93633206716888684</c:v>
                </c:pt>
                <c:pt idx="22">
                  <c:v>0.93549635781293405</c:v>
                </c:pt>
                <c:pt idx="23">
                  <c:v>0.93464104855190011</c:v>
                </c:pt>
                <c:pt idx="24">
                  <c:v>0.93376905110072861</c:v>
                </c:pt>
                <c:pt idx="25">
                  <c:v>0.93288280833190262</c:v>
                </c:pt>
                <c:pt idx="26">
                  <c:v>0.93198438167421993</c:v>
                </c:pt>
                <c:pt idx="27">
                  <c:v>0.93107552010156336</c:v>
                </c:pt>
                <c:pt idx="28">
                  <c:v>0.93015771500962818</c:v>
                </c:pt>
                <c:pt idx="29">
                  <c:v>0.92923224418274109</c:v>
                </c:pt>
                <c:pt idx="30">
                  <c:v>0.92830020725873463</c:v>
                </c:pt>
                <c:pt idx="31">
                  <c:v>0.92736255451847982</c:v>
                </c:pt>
                <c:pt idx="32">
                  <c:v>0.92642011039708538</c:v>
                </c:pt>
                <c:pt idx="33">
                  <c:v>0.92547359279351049</c:v>
                </c:pt>
                <c:pt idx="34">
                  <c:v>0.92452362901455554</c:v>
                </c:pt>
                <c:pt idx="35">
                  <c:v>0.92357076900676693</c:v>
                </c:pt>
                <c:pt idx="36">
                  <c:v>0.92261549639050666</c:v>
                </c:pt>
                <c:pt idx="37">
                  <c:v>0.92165823770336242</c:v>
                </c:pt>
                <c:pt idx="38">
                  <c:v>0.92069937017718961</c:v>
                </c:pt>
                <c:pt idx="39">
                  <c:v>0.91973922830851462</c:v>
                </c:pt>
                <c:pt idx="40">
                  <c:v>0.91877810943143201</c:v>
                </c:pt>
                <c:pt idx="41">
                  <c:v>0.91781627846223979</c:v>
                </c:pt>
                <c:pt idx="42">
                  <c:v>0.91685397195345253</c:v>
                </c:pt>
                <c:pt idx="43">
                  <c:v>0.91589140156963167</c:v>
                </c:pt>
                <c:pt idx="44">
                  <c:v>0.91492875707731125</c:v>
                </c:pt>
                <c:pt idx="45">
                  <c:v>0.91396620892505698</c:v>
                </c:pt>
                <c:pt idx="46">
                  <c:v>0.91300391047658169</c:v>
                </c:pt>
                <c:pt idx="47">
                  <c:v>0.91204199994917978</c:v>
                </c:pt>
                <c:pt idx="48">
                  <c:v>0.91108060210105857</c:v>
                </c:pt>
                <c:pt idx="49">
                  <c:v>0.91011982970403049</c:v>
                </c:pt>
                <c:pt idx="50">
                  <c:v>0.90915978483218418</c:v>
                </c:pt>
              </c:numCache>
            </c:numRef>
          </c:yVal>
          <c:smooth val="1"/>
        </c:ser>
        <c:dLbls>
          <c:showLegendKey val="0"/>
          <c:showVal val="0"/>
          <c:showCatName val="0"/>
          <c:showSerName val="0"/>
          <c:showPercent val="0"/>
          <c:showBubbleSize val="0"/>
        </c:dLbls>
        <c:axId val="117271168"/>
        <c:axId val="117273344"/>
      </c:scatterChart>
      <c:valAx>
        <c:axId val="11727116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7273344"/>
        <c:crosses val="autoZero"/>
        <c:crossBetween val="midCat"/>
      </c:valAx>
      <c:valAx>
        <c:axId val="117273344"/>
        <c:scaling>
          <c:orientation val="minMax"/>
        </c:scaling>
        <c:delete val="0"/>
        <c:axPos val="l"/>
        <c:majorGridlines/>
        <c:title>
          <c:tx>
            <c:rich>
              <a:bodyPr rot="-5400000" vert="horz"/>
              <a:lstStyle/>
              <a:p>
                <a:pPr>
                  <a:defRPr/>
                </a:pPr>
                <a:r>
                  <a:rPr lang="en-US"/>
                  <a:t>Efficiency (%)</a:t>
                </a:r>
              </a:p>
            </c:rich>
          </c:tx>
          <c:overlay val="0"/>
        </c:title>
        <c:numFmt formatCode="0.0%" sourceLinked="0"/>
        <c:majorTickMark val="out"/>
        <c:minorTickMark val="none"/>
        <c:tickLblPos val="nextTo"/>
        <c:crossAx val="117271168"/>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'Fly-Buck_Calc'!$CE$4:$CE$54</c:f>
              <c:numCache>
                <c:formatCode>General</c:formatCode>
                <c:ptCount val="51"/>
                <c:pt idx="0">
                  <c:v>0.11437500000000002</c:v>
                </c:pt>
                <c:pt idx="1">
                  <c:v>8.3551422005170961E-2</c:v>
                </c:pt>
                <c:pt idx="2">
                  <c:v>6.4134407439446373E-2</c:v>
                </c:pt>
                <c:pt idx="3">
                  <c:v>5.1118654073199529E-2</c:v>
                </c:pt>
                <c:pt idx="4">
                  <c:v>4.1970997836668467E-2</c:v>
                </c:pt>
                <c:pt idx="5">
                  <c:v>3.5297783933518005E-2</c:v>
                </c:pt>
                <c:pt idx="6">
                  <c:v>3.0280833949704142E-2</c:v>
                </c:pt>
                <c:pt idx="7">
                  <c:v>2.6414167123502235E-2</c:v>
                </c:pt>
                <c:pt idx="8">
                  <c:v>2.3371237570545551E-2</c:v>
                </c:pt>
                <c:pt idx="9">
                  <c:v>2.0933657712254531E-2</c:v>
                </c:pt>
                <c:pt idx="10">
                  <c:v>1.8950892857142857E-2</c:v>
                </c:pt>
                <c:pt idx="11">
                  <c:v>1.7316449709472544E-2</c:v>
                </c:pt>
                <c:pt idx="12">
                  <c:v>1.5953272712706298E-2</c:v>
                </c:pt>
                <c:pt idx="13">
                  <c:v>1.4804492810785615E-2</c:v>
                </c:pt>
                <c:pt idx="14">
                  <c:v>1.3827398631198348E-2</c:v>
                </c:pt>
                <c:pt idx="15">
                  <c:v>1.2989408327246162E-2</c:v>
                </c:pt>
                <c:pt idx="16">
                  <c:v>1.2265317780848124E-2</c:v>
                </c:pt>
                <c:pt idx="17">
                  <c:v>1.1635383047392561E-2</c:v>
                </c:pt>
                <c:pt idx="18">
                  <c:v>1.1083960039159842E-2</c:v>
                </c:pt>
                <c:pt idx="19">
                  <c:v>1.0598523781249359E-2</c:v>
                </c:pt>
                <c:pt idx="20">
                  <c:v>1.0168950850661626E-2</c:v>
                </c:pt>
                <c:pt idx="21">
                  <c:v>9.7869872726317822E-3</c:v>
                </c:pt>
                <c:pt idx="22">
                  <c:v>9.4458490504682625E-3</c:v>
                </c:pt>
                <c:pt idx="23">
                  <c:v>9.1399188481279051E-3</c:v>
                </c:pt>
                <c:pt idx="24">
                  <c:v>8.8645132568262765E-3</c:v>
                </c:pt>
                <c:pt idx="25">
                  <c:v>8.6157024793388423E-3</c:v>
                </c:pt>
                <c:pt idx="26">
                  <c:v>8.3901693612378498E-3</c:v>
                </c:pt>
                <c:pt idx="27">
                  <c:v>8.1850982539109357E-3</c:v>
                </c:pt>
                <c:pt idx="28">
                  <c:v>7.9980867067233896E-3</c:v>
                </c:pt>
                <c:pt idx="29">
                  <c:v>7.8270747821052311E-3</c:v>
                </c:pt>
                <c:pt idx="30">
                  <c:v>7.6702880859374992E-3</c:v>
                </c:pt>
                <c:pt idx="31">
                  <c:v>7.5261915540322053E-3</c:v>
                </c:pt>
                <c:pt idx="32">
                  <c:v>7.3934517348832329E-3</c:v>
                </c:pt>
                <c:pt idx="33">
                  <c:v>7.2709058292984748E-3</c:v>
                </c:pt>
                <c:pt idx="34">
                  <c:v>7.1575361381138753E-3</c:v>
                </c:pt>
                <c:pt idx="35">
                  <c:v>7.0524488647025711E-3</c:v>
                </c:pt>
                <c:pt idx="36">
                  <c:v>6.954856444279219E-3</c:v>
                </c:pt>
                <c:pt idx="37">
                  <c:v>6.8640627449911042E-3</c:v>
                </c:pt>
                <c:pt idx="38">
                  <c:v>6.7794506195335271E-3</c:v>
                </c:pt>
                <c:pt idx="39">
                  <c:v>6.7004713901032947E-3</c:v>
                </c:pt>
                <c:pt idx="40">
                  <c:v>6.6266359309934564E-3</c:v>
                </c:pt>
                <c:pt idx="41">
                  <c:v>6.557507077312159E-3</c:v>
                </c:pt>
                <c:pt idx="42">
                  <c:v>6.4926931391387898E-3</c:v>
                </c:pt>
                <c:pt idx="43">
                  <c:v>6.4318423409034974E-3</c:v>
                </c:pt>
                <c:pt idx="44">
                  <c:v>6.3746380381668639E-3</c:v>
                </c:pt>
                <c:pt idx="45">
                  <c:v>6.3207945900253595E-3</c:v>
                </c:pt>
                <c:pt idx="46">
                  <c:v>6.270053786414982E-3</c:v>
                </c:pt>
                <c:pt idx="47">
                  <c:v>6.222181746666727E-3</c:v>
                </c:pt>
                <c:pt idx="48">
                  <c:v>6.1769662195898826E-3</c:v>
                </c:pt>
                <c:pt idx="49">
                  <c:v>6.1342142267536634E-3</c:v>
                </c:pt>
                <c:pt idx="50">
                  <c:v>6.0937500000000002E-3</c:v>
                </c:pt>
              </c:numCache>
            </c:numRef>
          </c:yVal>
          <c:smooth val="1"/>
        </c:ser>
        <c:ser>
          <c:idx val="1"/>
          <c:order val="1"/>
          <c:tx>
            <c:v>MOSFET</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'Fly-Buck_Calc'!$CK$4:$CK$54</c:f>
              <c:numCache>
                <c:formatCode>General</c:formatCode>
                <c:ptCount val="51"/>
                <c:pt idx="0">
                  <c:v>0.59637499999999988</c:v>
                </c:pt>
                <c:pt idx="1">
                  <c:v>0.47758731973570812</c:v>
                </c:pt>
                <c:pt idx="2">
                  <c:v>0.40605540224913483</c:v>
                </c:pt>
                <c:pt idx="3">
                  <c:v>0.36104299544611229</c:v>
                </c:pt>
                <c:pt idx="4">
                  <c:v>0.33205556246619794</c:v>
                </c:pt>
                <c:pt idx="5">
                  <c:v>0.31331939058171743</c:v>
                </c:pt>
                <c:pt idx="6">
                  <c:v>0.30144488350591714</c:v>
                </c:pt>
                <c:pt idx="7">
                  <c:v>0.29433583522593776</c:v>
                </c:pt>
                <c:pt idx="8">
                  <c:v>0.29063941279226013</c:v>
                </c:pt>
                <c:pt idx="9">
                  <c:v>0.28945086766505446</c:v>
                </c:pt>
                <c:pt idx="10">
                  <c:v>0.290146556122449</c:v>
                </c:pt>
                <c:pt idx="11">
                  <c:v>0.29228529165352912</c:v>
                </c:pt>
                <c:pt idx="12">
                  <c:v>0.2955478440954975</c:v>
                </c:pt>
                <c:pt idx="13">
                  <c:v>0.29969861307325474</c:v>
                </c:pt>
                <c:pt idx="14">
                  <c:v>0.30456065147210742</c:v>
                </c:pt>
                <c:pt idx="15">
                  <c:v>0.30999897735573412</c:v>
                </c:pt>
                <c:pt idx="16">
                  <c:v>0.31590917366351368</c:v>
                </c:pt>
                <c:pt idx="17">
                  <c:v>0.32220944405348351</c:v>
                </c:pt>
                <c:pt idx="18">
                  <c:v>0.32883497730509081</c:v>
                </c:pt>
                <c:pt idx="19">
                  <c:v>0.33573388423660455</c:v>
                </c:pt>
                <c:pt idx="20">
                  <c:v>0.34286422495274105</c:v>
                </c:pt>
                <c:pt idx="21">
                  <c:v>0.35019180441518882</c:v>
                </c:pt>
                <c:pt idx="22">
                  <c:v>0.35768851749479713</c:v>
                </c:pt>
                <c:pt idx="23">
                  <c:v>0.36533109237081562</c:v>
                </c:pt>
                <c:pt idx="24">
                  <c:v>0.3731001263497089</c:v>
                </c:pt>
                <c:pt idx="25">
                  <c:v>0.38097933884297519</c:v>
                </c:pt>
                <c:pt idx="26">
                  <c:v>0.38895498735369971</c:v>
                </c:pt>
                <c:pt idx="27">
                  <c:v>0.39701540705191685</c:v>
                </c:pt>
                <c:pt idx="28">
                  <c:v>0.40515064492785402</c:v>
                </c:pt>
                <c:pt idx="29">
                  <c:v>0.413352166954436</c:v>
                </c:pt>
                <c:pt idx="30">
                  <c:v>0.42161262207031258</c:v>
                </c:pt>
                <c:pt idx="31">
                  <c:v>0.42992565072384781</c:v>
                </c:pt>
                <c:pt idx="32">
                  <c:v>0.43828572861594484</c:v>
                </c:pt>
                <c:pt idx="33">
                  <c:v>0.44668803843566507</c:v>
                </c:pt>
                <c:pt idx="34">
                  <c:v>0.45512836400075751</c:v>
                </c:pt>
                <c:pt idx="35">
                  <c:v>0.46360300243948216</c:v>
                </c:pt>
                <c:pt idx="36">
                  <c:v>0.47210869098344255</c:v>
                </c:pt>
                <c:pt idx="37">
                  <c:v>0.48064254565782027</c:v>
                </c:pt>
                <c:pt idx="38">
                  <c:v>0.48920200970949612</c:v>
                </c:pt>
                <c:pt idx="39">
                  <c:v>0.49778481004471375</c:v>
                </c:pt>
                <c:pt idx="40">
                  <c:v>0.50638892028554439</c:v>
                </c:pt>
                <c:pt idx="41">
                  <c:v>0.51501252932029329</c:v>
                </c:pt>
                <c:pt idx="42">
                  <c:v>0.52365401443357495</c:v>
                </c:pt>
                <c:pt idx="43">
                  <c:v>0.53231191826945734</c:v>
                </c:pt>
                <c:pt idx="44">
                  <c:v>0.54098492901526274</c:v>
                </c:pt>
                <c:pt idx="45">
                  <c:v>0.54967186330153361</c:v>
                </c:pt>
                <c:pt idx="46">
                  <c:v>0.55837165140086209</c:v>
                </c:pt>
                <c:pt idx="47">
                  <c:v>0.56708332437904785</c:v>
                </c:pt>
                <c:pt idx="48">
                  <c:v>0.5758060029097295</c:v>
                </c:pt>
                <c:pt idx="49">
                  <c:v>0.5845388875108366</c:v>
                </c:pt>
                <c:pt idx="50">
                  <c:v>0.59328124999999998</c:v>
                </c:pt>
              </c:numCache>
            </c:numRef>
          </c:yVal>
          <c:smooth val="1"/>
        </c:ser>
        <c:ser>
          <c:idx val="2"/>
          <c:order val="2"/>
          <c:tx>
            <c:v>Diode</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'Fly-Buck_Calc'!$CR$4:$CR$54</c:f>
              <c:numCache>
                <c:formatCode>##0.0E+0</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dLbls>
          <c:showLegendKey val="0"/>
          <c:showVal val="0"/>
          <c:showCatName val="0"/>
          <c:showSerName val="0"/>
          <c:showPercent val="0"/>
          <c:showBubbleSize val="0"/>
        </c:dLbls>
        <c:axId val="116988544"/>
        <c:axId val="117007104"/>
      </c:scatterChart>
      <c:valAx>
        <c:axId val="11698854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7007104"/>
        <c:crosses val="autoZero"/>
        <c:crossBetween val="midCat"/>
      </c:valAx>
      <c:valAx>
        <c:axId val="117007104"/>
        <c:scaling>
          <c:orientation val="minMax"/>
        </c:scaling>
        <c:delete val="0"/>
        <c:axPos val="l"/>
        <c:majorGridlines/>
        <c:title>
          <c:tx>
            <c:rich>
              <a:bodyPr rot="-5400000" vert="horz"/>
              <a:lstStyle/>
              <a:p>
                <a:pPr>
                  <a:defRPr/>
                </a:pPr>
                <a:r>
                  <a:rPr lang="en-US"/>
                  <a:t>Losses</a:t>
                </a:r>
                <a:r>
                  <a:rPr lang="en-US" baseline="0"/>
                  <a:t> (W)</a:t>
                </a:r>
                <a:endParaRPr lang="en-US"/>
              </a:p>
            </c:rich>
          </c:tx>
          <c:overlay val="0"/>
        </c:title>
        <c:numFmt formatCode="##0.0E+0" sourceLinked="0"/>
        <c:majorTickMark val="out"/>
        <c:minorTickMark val="none"/>
        <c:tickLblPos val="nextTo"/>
        <c:crossAx val="116988544"/>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('Fly-Buck'!$B$96,'Fly-Buck'!$B$99,'Fly-Buck'!$B$102,'Fly-Buck'!$B$105,'Fly-Buck'!$B$108,'Fly-Buck'!$B$111,'Fly-Buck'!$B$114)</c:f>
              <c:numCache>
                <c:formatCode>0.00</c:formatCode>
                <c:ptCount val="7"/>
                <c:pt idx="0">
                  <c:v>125</c:v>
                </c:pt>
                <c:pt idx="1">
                  <c:v>83.333333333333329</c:v>
                </c:pt>
                <c:pt idx="2">
                  <c:v>0</c:v>
                </c:pt>
                <c:pt idx="3">
                  <c:v>0</c:v>
                </c:pt>
                <c:pt idx="4">
                  <c:v>0</c:v>
                </c:pt>
                <c:pt idx="5">
                  <c:v>0</c:v>
                </c:pt>
                <c:pt idx="6">
                  <c:v>0</c:v>
                </c:pt>
              </c:numCache>
            </c:numRef>
          </c:val>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('Fly-Buck'!$B$97,'Fly-Buck'!$B$100,'Fly-Buck'!$B$103,'Fly-Buck'!$B$106,'Fly-Buck'!$B$109,'Fly-Buck'!$B$112,'Fly-Buck'!$B$115)</c:f>
              <c:numCache>
                <c:formatCode>General</c:formatCode>
                <c:ptCount val="7"/>
                <c:pt idx="0">
                  <c:v>100</c:v>
                </c:pt>
                <c:pt idx="1">
                  <c:v>20</c:v>
                </c:pt>
                <c:pt idx="2">
                  <c:v>20</c:v>
                </c:pt>
                <c:pt idx="3">
                  <c:v>0</c:v>
                </c:pt>
                <c:pt idx="4">
                  <c:v>0</c:v>
                </c:pt>
                <c:pt idx="5">
                  <c:v>0</c:v>
                </c:pt>
                <c:pt idx="6">
                  <c:v>0</c:v>
                </c:pt>
              </c:numCache>
            </c:numRef>
          </c:val>
        </c:ser>
        <c:dLbls>
          <c:showLegendKey val="0"/>
          <c:showVal val="0"/>
          <c:showCatName val="0"/>
          <c:showSerName val="0"/>
          <c:showPercent val="0"/>
          <c:showBubbleSize val="0"/>
        </c:dLbls>
        <c:gapWidth val="150"/>
        <c:axId val="117024640"/>
        <c:axId val="117030912"/>
      </c:barChart>
      <c:catAx>
        <c:axId val="117024640"/>
        <c:scaling>
          <c:orientation val="minMax"/>
        </c:scaling>
        <c:delete val="0"/>
        <c:axPos val="b"/>
        <c:majorGridlines/>
        <c:title>
          <c:tx>
            <c:rich>
              <a:bodyPr/>
              <a:lstStyle/>
              <a:p>
                <a:pPr>
                  <a:defRPr/>
                </a:pPr>
                <a:r>
                  <a:rPr lang="en-US"/>
                  <a:t>Outputs</a:t>
                </a:r>
              </a:p>
            </c:rich>
          </c:tx>
          <c:overlay val="0"/>
        </c:title>
        <c:majorTickMark val="out"/>
        <c:minorTickMark val="none"/>
        <c:tickLblPos val="nextTo"/>
        <c:crossAx val="117030912"/>
        <c:crosses val="autoZero"/>
        <c:auto val="1"/>
        <c:lblAlgn val="ctr"/>
        <c:lblOffset val="100"/>
        <c:noMultiLvlLbl val="0"/>
      </c:catAx>
      <c:valAx>
        <c:axId val="117030912"/>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General" sourceLinked="0"/>
        <c:majorTickMark val="out"/>
        <c:minorTickMark val="none"/>
        <c:tickLblPos val="nextTo"/>
        <c:crossAx val="117024640"/>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('Fly-Buck'!$B$86,'Fly-Buck'!$B$87,'Fly-Buck'!$B$88,'Fly-Buck'!$B$89,'Fly-Buck'!$B$90,'Fly-Buck'!$B$91)</c:f>
              <c:numCache>
                <c:formatCode>General</c:formatCode>
                <c:ptCount val="6"/>
                <c:pt idx="0">
                  <c:v>82.5</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7715328"/>
        <c:axId val="117716864"/>
      </c:barChart>
      <c:catAx>
        <c:axId val="117715328"/>
        <c:scaling>
          <c:orientation val="minMax"/>
        </c:scaling>
        <c:delete val="0"/>
        <c:axPos val="b"/>
        <c:majorTickMark val="out"/>
        <c:minorTickMark val="none"/>
        <c:tickLblPos val="nextTo"/>
        <c:crossAx val="117716864"/>
        <c:crosses val="autoZero"/>
        <c:auto val="1"/>
        <c:lblAlgn val="ctr"/>
        <c:lblOffset val="100"/>
        <c:noMultiLvlLbl val="0"/>
      </c:catAx>
      <c:valAx>
        <c:axId val="117716864"/>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17715328"/>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'Fly-Buck_Calc'!$M$4:$M$54</c:f>
              <c:numCache>
                <c:formatCode>General</c:formatCode>
                <c:ptCount val="51"/>
                <c:pt idx="0">
                  <c:v>1.25</c:v>
                </c:pt>
                <c:pt idx="1">
                  <c:v>1.0593220338983051</c:v>
                </c:pt>
                <c:pt idx="2">
                  <c:v>0.91911764705882348</c:v>
                </c:pt>
                <c:pt idx="3">
                  <c:v>0.81168831168831168</c:v>
                </c:pt>
                <c:pt idx="4">
                  <c:v>0.72674418604651159</c:v>
                </c:pt>
                <c:pt idx="5">
                  <c:v>0.6578947368421052</c:v>
                </c:pt>
                <c:pt idx="6">
                  <c:v>0.60096153846153844</c:v>
                </c:pt>
                <c:pt idx="7">
                  <c:v>0.55309734513274333</c:v>
                </c:pt>
                <c:pt idx="8">
                  <c:v>0.51229508196721307</c:v>
                </c:pt>
                <c:pt idx="9">
                  <c:v>0.47709923664122134</c:v>
                </c:pt>
                <c:pt idx="10">
                  <c:v>0.4464285714285714</c:v>
                </c:pt>
                <c:pt idx="11">
                  <c:v>0.4194630872483221</c:v>
                </c:pt>
                <c:pt idx="12">
                  <c:v>0.39556962025316456</c:v>
                </c:pt>
                <c:pt idx="13">
                  <c:v>0.37425149700598803</c:v>
                </c:pt>
                <c:pt idx="14">
                  <c:v>0.35511363636363635</c:v>
                </c:pt>
                <c:pt idx="15">
                  <c:v>0.33783783783783777</c:v>
                </c:pt>
                <c:pt idx="16">
                  <c:v>0.32216494845360821</c:v>
                </c:pt>
                <c:pt idx="17">
                  <c:v>0.30788177339901479</c:v>
                </c:pt>
                <c:pt idx="18">
                  <c:v>0.29481132075471694</c:v>
                </c:pt>
                <c:pt idx="19">
                  <c:v>0.28280542986425333</c:v>
                </c:pt>
                <c:pt idx="20">
                  <c:v>0.27173913043478259</c:v>
                </c:pt>
                <c:pt idx="21">
                  <c:v>0.2615062761506276</c:v>
                </c:pt>
                <c:pt idx="22">
                  <c:v>0.25201612903225806</c:v>
                </c:pt>
                <c:pt idx="23">
                  <c:v>0.24319066147859919</c:v>
                </c:pt>
                <c:pt idx="24">
                  <c:v>0.23496240601503759</c:v>
                </c:pt>
                <c:pt idx="25">
                  <c:v>0.22727272727272727</c:v>
                </c:pt>
                <c:pt idx="26">
                  <c:v>0.22007042253521128</c:v>
                </c:pt>
                <c:pt idx="27">
                  <c:v>0.21331058020477814</c:v>
                </c:pt>
                <c:pt idx="28">
                  <c:v>0.20695364238410596</c:v>
                </c:pt>
                <c:pt idx="29">
                  <c:v>0.20096463022508038</c:v>
                </c:pt>
                <c:pt idx="30">
                  <c:v>0.19531249999999997</c:v>
                </c:pt>
                <c:pt idx="31">
                  <c:v>0.18996960486322187</c:v>
                </c:pt>
                <c:pt idx="32">
                  <c:v>0.1849112426035503</c:v>
                </c:pt>
                <c:pt idx="33">
                  <c:v>0.18011527377521613</c:v>
                </c:pt>
                <c:pt idx="34">
                  <c:v>0.175561797752809</c:v>
                </c:pt>
                <c:pt idx="35">
                  <c:v>0.17123287671232876</c:v>
                </c:pt>
                <c:pt idx="36">
                  <c:v>0.16711229946524064</c:v>
                </c:pt>
                <c:pt idx="37">
                  <c:v>0.16318537859007834</c:v>
                </c:pt>
                <c:pt idx="38">
                  <c:v>0.15943877551020405</c:v>
                </c:pt>
                <c:pt idx="39">
                  <c:v>0.15586034912718202</c:v>
                </c:pt>
                <c:pt idx="40">
                  <c:v>0.1524390243902439</c:v>
                </c:pt>
                <c:pt idx="41">
                  <c:v>0.14916467780429593</c:v>
                </c:pt>
                <c:pt idx="42">
                  <c:v>0.14602803738317757</c:v>
                </c:pt>
                <c:pt idx="43">
                  <c:v>0.14302059496567504</c:v>
                </c:pt>
                <c:pt idx="44">
                  <c:v>0.14013452914798205</c:v>
                </c:pt>
                <c:pt idx="45">
                  <c:v>0.13736263736263735</c:v>
                </c:pt>
                <c:pt idx="46">
                  <c:v>0.13469827586206895</c:v>
                </c:pt>
                <c:pt idx="47">
                  <c:v>0.1321353065539112</c:v>
                </c:pt>
                <c:pt idx="48">
                  <c:v>0.1296680497925311</c:v>
                </c:pt>
                <c:pt idx="49">
                  <c:v>0.12729124236252545</c:v>
                </c:pt>
                <c:pt idx="50">
                  <c:v>0.125</c:v>
                </c:pt>
              </c:numCache>
            </c:numRef>
          </c:yVal>
          <c:smooth val="1"/>
        </c:ser>
        <c:dLbls>
          <c:showLegendKey val="0"/>
          <c:showVal val="0"/>
          <c:showCatName val="0"/>
          <c:showSerName val="0"/>
          <c:showPercent val="0"/>
          <c:showBubbleSize val="0"/>
        </c:dLbls>
        <c:axId val="117766016"/>
        <c:axId val="117768192"/>
      </c:scatterChart>
      <c:valAx>
        <c:axId val="11776601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7768192"/>
        <c:crosses val="autoZero"/>
        <c:crossBetween val="midCat"/>
      </c:valAx>
      <c:valAx>
        <c:axId val="117768192"/>
        <c:scaling>
          <c:orientation val="minMax"/>
        </c:scaling>
        <c:delete val="0"/>
        <c:axPos val="l"/>
        <c:majorGridlines/>
        <c:title>
          <c:tx>
            <c:rich>
              <a:bodyPr rot="-5400000" vert="horz"/>
              <a:lstStyle/>
              <a:p>
                <a:pPr>
                  <a:defRPr/>
                </a:pPr>
                <a:r>
                  <a:rPr lang="en-US"/>
                  <a:t>Input Current </a:t>
                </a:r>
                <a:r>
                  <a:rPr lang="en-US" baseline="0"/>
                  <a:t>(A)</a:t>
                </a:r>
                <a:endParaRPr lang="en-US"/>
              </a:p>
            </c:rich>
          </c:tx>
          <c:overlay val="0"/>
        </c:title>
        <c:numFmt formatCode="##0.0E+0" sourceLinked="0"/>
        <c:majorTickMark val="out"/>
        <c:minorTickMark val="none"/>
        <c:tickLblPos val="nextTo"/>
        <c:crossAx val="117766016"/>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layout/>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(Designs!$B$17,Designs!$B$32,Designs!$B$37,Designs!$B$42,Designs!$B$47,Designs!$B$52,Designs!$B$57)</c:f>
              <c:numCache>
                <c:formatCode>General</c:formatCode>
                <c:ptCount val="7"/>
                <c:pt idx="0">
                  <c:v>15</c:v>
                </c:pt>
                <c:pt idx="1">
                  <c:v>15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17814400"/>
        <c:axId val="117815936"/>
      </c:barChart>
      <c:catAx>
        <c:axId val="117814400"/>
        <c:scaling>
          <c:orientation val="minMax"/>
        </c:scaling>
        <c:delete val="0"/>
        <c:axPos val="b"/>
        <c:majorGridlines/>
        <c:majorTickMark val="out"/>
        <c:minorTickMark val="none"/>
        <c:tickLblPos val="nextTo"/>
        <c:crossAx val="117815936"/>
        <c:crosses val="autoZero"/>
        <c:auto val="1"/>
        <c:lblAlgn val="ctr"/>
        <c:lblOffset val="100"/>
        <c:noMultiLvlLbl val="0"/>
      </c:catAx>
      <c:valAx>
        <c:axId val="117815936"/>
        <c:scaling>
          <c:orientation val="minMax"/>
        </c:scaling>
        <c:delete val="0"/>
        <c:axPos val="l"/>
        <c:majorGridlines/>
        <c:title>
          <c:tx>
            <c:rich>
              <a:bodyPr rot="-5400000" vert="horz"/>
              <a:lstStyle/>
              <a:p>
                <a:pPr>
                  <a:defRPr/>
                </a:pPr>
                <a:r>
                  <a:rPr lang="en-US"/>
                  <a:t>Output</a:t>
                </a:r>
                <a:r>
                  <a:rPr lang="en-US" baseline="0"/>
                  <a:t> Voltages (V)</a:t>
                </a:r>
                <a:endParaRPr lang="en-US"/>
              </a:p>
            </c:rich>
          </c:tx>
          <c:layout/>
          <c:overlay val="0"/>
        </c:title>
        <c:numFmt formatCode="General" sourceLinked="1"/>
        <c:majorTickMark val="out"/>
        <c:minorTickMark val="none"/>
        <c:tickLblPos val="nextTo"/>
        <c:crossAx val="117814400"/>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'Fly-Buck_Calc'!$CU$4:$CU$54</c:f>
              <c:numCache>
                <c:formatCode>##0.0E+0</c:formatCode>
                <c:ptCount val="51"/>
                <c:pt idx="0">
                  <c:v>0.89704870974493922</c:v>
                </c:pt>
                <c:pt idx="1">
                  <c:v>0.91339340813645697</c:v>
                </c:pt>
                <c:pt idx="2">
                  <c:v>0.92362372995904563</c:v>
                </c:pt>
                <c:pt idx="3">
                  <c:v>0.9302715978719146</c:v>
                </c:pt>
                <c:pt idx="4">
                  <c:v>0.93469281832946882</c:v>
                </c:pt>
                <c:pt idx="5">
                  <c:v>0.93766207787717326</c:v>
                </c:pt>
                <c:pt idx="6">
                  <c:v>0.93964642052255543</c:v>
                </c:pt>
                <c:pt idx="7">
                  <c:v>0.94094031274212797</c:v>
                </c:pt>
                <c:pt idx="8">
                  <c:v>0.94173656079406831</c:v>
                </c:pt>
                <c:pt idx="9">
                  <c:v>0.94216554188938662</c:v>
                </c:pt>
                <c:pt idx="10">
                  <c:v>0.94231790075161714</c:v>
                </c:pt>
                <c:pt idx="11">
                  <c:v>0.9422581988022557</c:v>
                </c:pt>
                <c:pt idx="12">
                  <c:v>0.94203340424911963</c:v>
                </c:pt>
                <c:pt idx="13">
                  <c:v>0.9416783320053107</c:v>
                </c:pt>
                <c:pt idx="14">
                  <c:v>0.94121922186040707</c:v>
                </c:pt>
                <c:pt idx="15">
                  <c:v>0.94067614766223395</c:v>
                </c:pt>
                <c:pt idx="16">
                  <c:v>0.94006467369732927</c:v>
                </c:pt>
                <c:pt idx="17">
                  <c:v>0.93939701515008378</c:v>
                </c:pt>
                <c:pt idx="18">
                  <c:v>0.93868286509711529</c:v>
                </c:pt>
                <c:pt idx="19">
                  <c:v>0.93792999306529756</c:v>
                </c:pt>
                <c:pt idx="20">
                  <c:v>0.93714468442736343</c:v>
                </c:pt>
                <c:pt idx="21">
                  <c:v>0.93633206716888684</c:v>
                </c:pt>
                <c:pt idx="22">
                  <c:v>0.93549635781293405</c:v>
                </c:pt>
                <c:pt idx="23">
                  <c:v>0.93464104855190011</c:v>
                </c:pt>
                <c:pt idx="24">
                  <c:v>0.93376905110072861</c:v>
                </c:pt>
                <c:pt idx="25">
                  <c:v>0.93288280833190262</c:v>
                </c:pt>
                <c:pt idx="26">
                  <c:v>0.93198438167421993</c:v>
                </c:pt>
                <c:pt idx="27">
                  <c:v>0.93107552010156336</c:v>
                </c:pt>
                <c:pt idx="28">
                  <c:v>0.93015771500962818</c:v>
                </c:pt>
                <c:pt idx="29">
                  <c:v>0.92923224418274109</c:v>
                </c:pt>
                <c:pt idx="30">
                  <c:v>0.92830020725873463</c:v>
                </c:pt>
                <c:pt idx="31">
                  <c:v>0.92736255451847982</c:v>
                </c:pt>
                <c:pt idx="32">
                  <c:v>0.92642011039708538</c:v>
                </c:pt>
                <c:pt idx="33">
                  <c:v>0.92547359279351049</c:v>
                </c:pt>
                <c:pt idx="34">
                  <c:v>0.92452362901455554</c:v>
                </c:pt>
                <c:pt idx="35">
                  <c:v>0.92357076900676693</c:v>
                </c:pt>
                <c:pt idx="36">
                  <c:v>0.92261549639050666</c:v>
                </c:pt>
                <c:pt idx="37">
                  <c:v>0.92165823770336242</c:v>
                </c:pt>
                <c:pt idx="38">
                  <c:v>0.92069937017718961</c:v>
                </c:pt>
                <c:pt idx="39">
                  <c:v>0.91973922830851462</c:v>
                </c:pt>
                <c:pt idx="40">
                  <c:v>0.91877810943143201</c:v>
                </c:pt>
                <c:pt idx="41">
                  <c:v>0.91781627846223979</c:v>
                </c:pt>
                <c:pt idx="42">
                  <c:v>0.91685397195345253</c:v>
                </c:pt>
                <c:pt idx="43">
                  <c:v>0.91589140156963167</c:v>
                </c:pt>
                <c:pt idx="44">
                  <c:v>0.91492875707731125</c:v>
                </c:pt>
                <c:pt idx="45">
                  <c:v>0.91396620892505698</c:v>
                </c:pt>
                <c:pt idx="46">
                  <c:v>0.91300391047658169</c:v>
                </c:pt>
                <c:pt idx="47">
                  <c:v>0.91204199994917978</c:v>
                </c:pt>
                <c:pt idx="48">
                  <c:v>0.91108060210105857</c:v>
                </c:pt>
                <c:pt idx="49">
                  <c:v>0.91011982970403049</c:v>
                </c:pt>
                <c:pt idx="50">
                  <c:v>0.90915978483218418</c:v>
                </c:pt>
              </c:numCache>
            </c:numRef>
          </c:yVal>
          <c:smooth val="1"/>
        </c:ser>
        <c:dLbls>
          <c:showLegendKey val="0"/>
          <c:showVal val="0"/>
          <c:showCatName val="0"/>
          <c:showSerName val="0"/>
          <c:showPercent val="0"/>
          <c:showBubbleSize val="0"/>
        </c:dLbls>
        <c:axId val="119671040"/>
        <c:axId val="119943168"/>
      </c:scatterChart>
      <c:valAx>
        <c:axId val="119671040"/>
        <c:scaling>
          <c:orientation val="minMax"/>
        </c:scaling>
        <c:delete val="0"/>
        <c:axPos val="b"/>
        <c:numFmt formatCode="General" sourceLinked="1"/>
        <c:majorTickMark val="out"/>
        <c:minorTickMark val="none"/>
        <c:tickLblPos val="nextTo"/>
        <c:crossAx val="119943168"/>
        <c:crosses val="autoZero"/>
        <c:crossBetween val="midCat"/>
      </c:valAx>
      <c:valAx>
        <c:axId val="119943168"/>
        <c:scaling>
          <c:orientation val="minMax"/>
        </c:scaling>
        <c:delete val="0"/>
        <c:axPos val="l"/>
        <c:majorGridlines/>
        <c:numFmt formatCode="##0.0E+0" sourceLinked="1"/>
        <c:majorTickMark val="out"/>
        <c:minorTickMark val="none"/>
        <c:tickLblPos val="nextTo"/>
        <c:crossAx val="1196710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layout/>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('Fly-Buck-Boost'!$B$83,'Fly-Buck-Boost'!$B$84,'Fly-Buck-Boost'!$B$85,'Fly-Buck-Boost'!$B$86,'Fly-Buck-Boost'!$B$87,'Fly-Buck-Boost'!$B$88)</c:f>
              <c:numCache>
                <c:formatCode>General</c:formatCode>
                <c:ptCount val="6"/>
                <c:pt idx="0">
                  <c:v>75</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9571200"/>
        <c:axId val="119572736"/>
      </c:barChart>
      <c:catAx>
        <c:axId val="119571200"/>
        <c:scaling>
          <c:orientation val="minMax"/>
        </c:scaling>
        <c:delete val="0"/>
        <c:axPos val="b"/>
        <c:majorTickMark val="out"/>
        <c:minorTickMark val="none"/>
        <c:tickLblPos val="nextTo"/>
        <c:crossAx val="119572736"/>
        <c:crosses val="autoZero"/>
        <c:auto val="1"/>
        <c:lblAlgn val="ctr"/>
        <c:lblOffset val="100"/>
        <c:noMultiLvlLbl val="0"/>
      </c:catAx>
      <c:valAx>
        <c:axId val="119572736"/>
        <c:scaling>
          <c:orientation val="minMax"/>
        </c:scaling>
        <c:delete val="0"/>
        <c:axPos val="l"/>
        <c:majorGridlines/>
        <c:title>
          <c:tx>
            <c:rich>
              <a:bodyPr rot="-5400000" vert="horz"/>
              <a:lstStyle/>
              <a:p>
                <a:pPr>
                  <a:defRPr/>
                </a:pPr>
                <a:r>
                  <a:rPr lang="en-US"/>
                  <a:t>Voltage</a:t>
                </a:r>
                <a:r>
                  <a:rPr lang="en-US" baseline="0"/>
                  <a:t> Stress (V)</a:t>
                </a:r>
                <a:endParaRPr lang="en-US"/>
              </a:p>
            </c:rich>
          </c:tx>
          <c:layout/>
          <c:overlay val="0"/>
        </c:title>
        <c:numFmt formatCode="General" sourceLinked="1"/>
        <c:majorTickMark val="out"/>
        <c:minorTickMark val="none"/>
        <c:tickLblPos val="nextTo"/>
        <c:crossAx val="119571200"/>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layout/>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('Fly-Buck-Boost'!$B$92,'Fly-Buck-Boost'!$B$95,'Fly-Buck-Boost'!$B$98,'Fly-Buck-Boost'!$B$101,'Fly-Buck-Boost'!$B$104,'Fly-Buck-Boost'!$B$107,'Fly-Buck-Boost'!$B$110)</c:f>
              <c:numCache>
                <c:formatCode>0.00</c:formatCode>
                <c:ptCount val="7"/>
                <c:pt idx="0">
                  <c:v>83.333333333333329</c:v>
                </c:pt>
                <c:pt idx="1">
                  <c:v>23.80952380952381</c:v>
                </c:pt>
                <c:pt idx="2">
                  <c:v>0</c:v>
                </c:pt>
                <c:pt idx="3">
                  <c:v>0</c:v>
                </c:pt>
                <c:pt idx="4">
                  <c:v>0</c:v>
                </c:pt>
                <c:pt idx="5">
                  <c:v>0</c:v>
                </c:pt>
                <c:pt idx="6">
                  <c:v>0</c:v>
                </c:pt>
              </c:numCache>
            </c:numRef>
          </c:val>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('Fly-Buck-Boost'!$B$93,'Fly-Buck-Boost'!$B$96,'Fly-Buck-Boost'!$B$99,'Fly-Buck-Boost'!$B$102,'Fly-Buck-Boost'!$B$105,'Fly-Buck-Boost'!$B$108,'Fly-Buck-Boost'!$B$111)</c:f>
              <c:numCache>
                <c:formatCode>General</c:formatCode>
                <c:ptCount val="7"/>
                <c:pt idx="0">
                  <c:v>88</c:v>
                </c:pt>
                <c:pt idx="1">
                  <c:v>44</c:v>
                </c:pt>
                <c:pt idx="2">
                  <c:v>20</c:v>
                </c:pt>
                <c:pt idx="3">
                  <c:v>0</c:v>
                </c:pt>
                <c:pt idx="4">
                  <c:v>0</c:v>
                </c:pt>
                <c:pt idx="5">
                  <c:v>0</c:v>
                </c:pt>
                <c:pt idx="6">
                  <c:v>0</c:v>
                </c:pt>
              </c:numCache>
            </c:numRef>
          </c:val>
        </c:ser>
        <c:dLbls>
          <c:showLegendKey val="0"/>
          <c:showVal val="0"/>
          <c:showCatName val="0"/>
          <c:showSerName val="0"/>
          <c:showPercent val="0"/>
          <c:showBubbleSize val="0"/>
        </c:dLbls>
        <c:gapWidth val="150"/>
        <c:axId val="119967744"/>
        <c:axId val="119969664"/>
      </c:barChart>
      <c:catAx>
        <c:axId val="119967744"/>
        <c:scaling>
          <c:orientation val="minMax"/>
        </c:scaling>
        <c:delete val="0"/>
        <c:axPos val="b"/>
        <c:majorGridlines/>
        <c:title>
          <c:tx>
            <c:rich>
              <a:bodyPr/>
              <a:lstStyle/>
              <a:p>
                <a:pPr>
                  <a:defRPr/>
                </a:pPr>
                <a:r>
                  <a:rPr lang="en-US"/>
                  <a:t>Outputs</a:t>
                </a:r>
              </a:p>
            </c:rich>
          </c:tx>
          <c:layout/>
          <c:overlay val="0"/>
        </c:title>
        <c:majorTickMark val="out"/>
        <c:minorTickMark val="none"/>
        <c:tickLblPos val="nextTo"/>
        <c:crossAx val="119969664"/>
        <c:crosses val="autoZero"/>
        <c:auto val="1"/>
        <c:lblAlgn val="ctr"/>
        <c:lblOffset val="100"/>
        <c:noMultiLvlLbl val="0"/>
      </c:catAx>
      <c:valAx>
        <c:axId val="119969664"/>
        <c:scaling>
          <c:orientation val="minMax"/>
        </c:scaling>
        <c:delete val="0"/>
        <c:axPos val="l"/>
        <c:majorGridlines/>
        <c:title>
          <c:tx>
            <c:rich>
              <a:bodyPr rot="-5400000" vert="horz"/>
              <a:lstStyle/>
              <a:p>
                <a:pPr>
                  <a:defRPr/>
                </a:pPr>
                <a:r>
                  <a:rPr lang="en-US"/>
                  <a:t>Capacitance</a:t>
                </a:r>
                <a:r>
                  <a:rPr lang="en-US" baseline="0"/>
                  <a:t> (uF)</a:t>
                </a:r>
                <a:endParaRPr lang="en-US"/>
              </a:p>
            </c:rich>
          </c:tx>
          <c:layout/>
          <c:overlay val="0"/>
        </c:title>
        <c:numFmt formatCode="General" sourceLinked="0"/>
        <c:majorTickMark val="out"/>
        <c:minorTickMark val="none"/>
        <c:tickLblPos val="nextTo"/>
        <c:crossAx val="119967744"/>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'Fly-Buck_Calc'!$T$4:$T$54</c:f>
              <c:numCache>
                <c:formatCode>General</c:formatCode>
                <c:ptCount val="51"/>
                <c:pt idx="0">
                  <c:v>-0.125</c:v>
                </c:pt>
                <c:pt idx="1">
                  <c:v>3.3898305084745783E-2</c:v>
                </c:pt>
                <c:pt idx="2">
                  <c:v>0.15073529411764708</c:v>
                </c:pt>
                <c:pt idx="3">
                  <c:v>0.24025974025974028</c:v>
                </c:pt>
                <c:pt idx="4">
                  <c:v>0.31104651162790697</c:v>
                </c:pt>
                <c:pt idx="5">
                  <c:v>0.36842105263157898</c:v>
                </c:pt>
                <c:pt idx="6">
                  <c:v>0.41586538461538464</c:v>
                </c:pt>
                <c:pt idx="7">
                  <c:v>0.45575221238938057</c:v>
                </c:pt>
                <c:pt idx="8">
                  <c:v>0.48975409836065575</c:v>
                </c:pt>
                <c:pt idx="9">
                  <c:v>0.51908396946564883</c:v>
                </c:pt>
                <c:pt idx="10">
                  <c:v>0.54464285714285721</c:v>
                </c:pt>
                <c:pt idx="11">
                  <c:v>0.56711409395973156</c:v>
                </c:pt>
                <c:pt idx="12">
                  <c:v>0.58702531645569622</c:v>
                </c:pt>
                <c:pt idx="13">
                  <c:v>0.60479041916167664</c:v>
                </c:pt>
                <c:pt idx="14">
                  <c:v>0.62073863636363635</c:v>
                </c:pt>
                <c:pt idx="15">
                  <c:v>0.6351351351351352</c:v>
                </c:pt>
                <c:pt idx="16">
                  <c:v>0.64819587628865982</c:v>
                </c:pt>
                <c:pt idx="17">
                  <c:v>0.66009852216748766</c:v>
                </c:pt>
                <c:pt idx="18">
                  <c:v>0.67099056603773588</c:v>
                </c:pt>
                <c:pt idx="19">
                  <c:v>0.6809954751131222</c:v>
                </c:pt>
                <c:pt idx="20">
                  <c:v>0.69021739130434789</c:v>
                </c:pt>
                <c:pt idx="21">
                  <c:v>0.69874476987447698</c:v>
                </c:pt>
                <c:pt idx="22">
                  <c:v>0.70665322580645162</c:v>
                </c:pt>
                <c:pt idx="23">
                  <c:v>0.71400778210116733</c:v>
                </c:pt>
                <c:pt idx="24">
                  <c:v>0.72086466165413532</c:v>
                </c:pt>
                <c:pt idx="25">
                  <c:v>0.72727272727272729</c:v>
                </c:pt>
                <c:pt idx="26">
                  <c:v>0.73327464788732399</c:v>
                </c:pt>
                <c:pt idx="27">
                  <c:v>0.73890784982935154</c:v>
                </c:pt>
                <c:pt idx="28">
                  <c:v>0.74420529801324509</c:v>
                </c:pt>
                <c:pt idx="29">
                  <c:v>0.74919614147909963</c:v>
                </c:pt>
                <c:pt idx="30">
                  <c:v>0.75390625</c:v>
                </c:pt>
                <c:pt idx="31">
                  <c:v>0.75835866261398177</c:v>
                </c:pt>
                <c:pt idx="32">
                  <c:v>0.76257396449704151</c:v>
                </c:pt>
                <c:pt idx="33">
                  <c:v>0.76657060518731979</c:v>
                </c:pt>
                <c:pt idx="34">
                  <c:v>0.7703651685393258</c:v>
                </c:pt>
                <c:pt idx="35">
                  <c:v>0.77397260273972601</c:v>
                </c:pt>
                <c:pt idx="36">
                  <c:v>0.77740641711229952</c:v>
                </c:pt>
                <c:pt idx="37">
                  <c:v>0.78067885117493474</c:v>
                </c:pt>
                <c:pt idx="38">
                  <c:v>0.78380102040816335</c:v>
                </c:pt>
                <c:pt idx="39">
                  <c:v>0.78678304239401498</c:v>
                </c:pt>
                <c:pt idx="40">
                  <c:v>0.78963414634146345</c:v>
                </c:pt>
                <c:pt idx="41">
                  <c:v>0.79236276849642007</c:v>
                </c:pt>
                <c:pt idx="42">
                  <c:v>0.79497663551401865</c:v>
                </c:pt>
                <c:pt idx="43">
                  <c:v>0.79748283752860405</c:v>
                </c:pt>
                <c:pt idx="44">
                  <c:v>0.79988789237668168</c:v>
                </c:pt>
                <c:pt idx="45">
                  <c:v>0.80219780219780223</c:v>
                </c:pt>
                <c:pt idx="46">
                  <c:v>0.80441810344827591</c:v>
                </c:pt>
                <c:pt idx="47">
                  <c:v>0.80655391120507403</c:v>
                </c:pt>
                <c:pt idx="48">
                  <c:v>0.80860995850622408</c:v>
                </c:pt>
                <c:pt idx="49">
                  <c:v>0.81059063136456211</c:v>
                </c:pt>
                <c:pt idx="50">
                  <c:v>0.8125</c:v>
                </c:pt>
              </c:numCache>
            </c:numRef>
          </c:yVal>
          <c:smooth val="1"/>
        </c:ser>
        <c:ser>
          <c:idx val="1"/>
          <c:order val="1"/>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'Fly-BB_Calc'!$T$4:$T$54</c:f>
              <c:numCache>
                <c:formatCode>General</c:formatCode>
                <c:ptCount val="51"/>
                <c:pt idx="0">
                  <c:v>1.7976190476190477</c:v>
                </c:pt>
                <c:pt idx="1">
                  <c:v>1.6127640628838125</c:v>
                </c:pt>
                <c:pt idx="2">
                  <c:v>1.4778395814284264</c:v>
                </c:pt>
                <c:pt idx="3">
                  <c:v>1.3752196648236252</c:v>
                </c:pt>
                <c:pt idx="4">
                  <c:v>1.2946746757779493</c:v>
                </c:pt>
                <c:pt idx="5">
                  <c:v>1.2298644338118021</c:v>
                </c:pt>
                <c:pt idx="6">
                  <c:v>1.1766529503974921</c:v>
                </c:pt>
                <c:pt idx="7">
                  <c:v>1.1322289977938078</c:v>
                </c:pt>
                <c:pt idx="8">
                  <c:v>1.0946162695515584</c:v>
                </c:pt>
                <c:pt idx="9">
                  <c:v>1.0623856949745547</c:v>
                </c:pt>
                <c:pt idx="10">
                  <c:v>1.0344788858939802</c:v>
                </c:pt>
                <c:pt idx="11">
                  <c:v>1.0100956906546483</c:v>
                </c:pt>
                <c:pt idx="12">
                  <c:v>0.98862026807413039</c:v>
                </c:pt>
                <c:pt idx="13">
                  <c:v>0.96957113170918441</c:v>
                </c:pt>
                <c:pt idx="14">
                  <c:v>0.9525665710258735</c:v>
                </c:pt>
                <c:pt idx="15">
                  <c:v>0.93730020342923559</c:v>
                </c:pt>
                <c:pt idx="16">
                  <c:v>0.92352336015684755</c:v>
                </c:pt>
                <c:pt idx="17">
                  <c:v>0.91103217990307983</c:v>
                </c:pt>
                <c:pt idx="18">
                  <c:v>0.8996580072037772</c:v>
                </c:pt>
                <c:pt idx="19">
                  <c:v>0.88926015048082363</c:v>
                </c:pt>
                <c:pt idx="20">
                  <c:v>0.87972035109205959</c:v>
                </c:pt>
                <c:pt idx="21">
                  <c:v>0.87093851058286209</c:v>
                </c:pt>
                <c:pt idx="22">
                  <c:v>0.86282935512698566</c:v>
                </c:pt>
                <c:pt idx="23">
                  <c:v>0.85531980633025706</c:v>
                </c:pt>
                <c:pt idx="24">
                  <c:v>0.84834689024351162</c:v>
                </c:pt>
                <c:pt idx="25">
                  <c:v>0.84185606060606066</c:v>
                </c:pt>
                <c:pt idx="26">
                  <c:v>0.83579984388810447</c:v>
                </c:pt>
                <c:pt idx="27">
                  <c:v>0.83013673650461872</c:v>
                </c:pt>
                <c:pt idx="28">
                  <c:v>0.8248303012443714</c:v>
                </c:pt>
                <c:pt idx="29">
                  <c:v>0.81984842227401011</c:v>
                </c:pt>
                <c:pt idx="30">
                  <c:v>0.81516268726591767</c:v>
                </c:pt>
                <c:pt idx="31">
                  <c:v>0.81074787211726007</c:v>
                </c:pt>
                <c:pt idx="32">
                  <c:v>0.80658150898224013</c:v>
                </c:pt>
                <c:pt idx="33">
                  <c:v>0.80264352236278669</c:v>
                </c:pt>
                <c:pt idx="34">
                  <c:v>0.79891592110693233</c:v>
                </c:pt>
                <c:pt idx="35">
                  <c:v>0.79538253657627433</c:v>
                </c:pt>
                <c:pt idx="36">
                  <c:v>0.79202879913123947</c:v>
                </c:pt>
                <c:pt idx="37">
                  <c:v>0.78884154656908101</c:v>
                </c:pt>
                <c:pt idx="38">
                  <c:v>0.78580885932709643</c:v>
                </c:pt>
                <c:pt idx="39">
                  <c:v>0.78291991820196027</c:v>
                </c:pt>
                <c:pt idx="40">
                  <c:v>0.78016488108806326</c:v>
                </c:pt>
                <c:pt idx="41">
                  <c:v>0.77753477584351161</c:v>
                </c:pt>
                <c:pt idx="42">
                  <c:v>0.77502140688287624</c:v>
                </c:pt>
                <c:pt idx="43">
                  <c:v>0.77261727349473786</c:v>
                </c:pt>
                <c:pt idx="44">
                  <c:v>0.77031549820811052</c:v>
                </c:pt>
                <c:pt idx="45">
                  <c:v>0.76810976379941887</c:v>
                </c:pt>
                <c:pt idx="46">
                  <c:v>0.76599425775227836</c:v>
                </c:pt>
                <c:pt idx="47">
                  <c:v>0.76396362316483657</c:v>
                </c:pt>
                <c:pt idx="48">
                  <c:v>0.76201291525107029</c:v>
                </c:pt>
                <c:pt idx="49">
                  <c:v>0.7601375627088458</c:v>
                </c:pt>
                <c:pt idx="50">
                  <c:v>0.7583333333333333</c:v>
                </c:pt>
              </c:numCache>
            </c:numRef>
          </c:yVal>
          <c:smooth val="1"/>
        </c:ser>
        <c:ser>
          <c:idx val="2"/>
          <c:order val="2"/>
          <c:tx>
            <c:v>Flyback 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Flyback_CCM_Calc!$U$4:$U$54</c:f>
              <c:numCache>
                <c:formatCode>General</c:formatCode>
                <c:ptCount val="51"/>
                <c:pt idx="0">
                  <c:v>1.4883107088989442</c:v>
                </c:pt>
                <c:pt idx="1">
                  <c:v>1.305990174838892</c:v>
                </c:pt>
                <c:pt idx="2">
                  <c:v>1.1737745098039214</c:v>
                </c:pt>
                <c:pt idx="3">
                  <c:v>1.0739890593254959</c:v>
                </c:pt>
                <c:pt idx="4">
                  <c:v>0.99636583752400409</c:v>
                </c:pt>
                <c:pt idx="5">
                  <c:v>0.93453435820789299</c:v>
                </c:pt>
                <c:pt idx="6">
                  <c:v>0.88433461742285258</c:v>
                </c:pt>
                <c:pt idx="7">
                  <c:v>0.84293632708313948</c:v>
                </c:pt>
                <c:pt idx="8">
                  <c:v>0.80834804860841503</c:v>
                </c:pt>
                <c:pt idx="9">
                  <c:v>0.77912871085128743</c:v>
                </c:pt>
                <c:pt idx="10">
                  <c:v>0.75421043417366951</c:v>
                </c:pt>
                <c:pt idx="11">
                  <c:v>0.73278559416519928</c:v>
                </c:pt>
                <c:pt idx="12">
                  <c:v>0.71423250709464814</c:v>
                </c:pt>
                <c:pt idx="13">
                  <c:v>0.69806516448481393</c:v>
                </c:pt>
                <c:pt idx="14">
                  <c:v>0.68389840608547847</c:v>
                </c:pt>
                <c:pt idx="15">
                  <c:v>0.6714232720115072</c:v>
                </c:pt>
                <c:pt idx="16">
                  <c:v>0.66038922692904334</c:v>
                </c:pt>
                <c:pt idx="17">
                  <c:v>0.65059112233195815</c:v>
                </c:pt>
                <c:pt idx="18">
                  <c:v>0.64185948784764113</c:v>
                </c:pt>
                <c:pt idx="19">
                  <c:v>0.63405320170026047</c:v>
                </c:pt>
                <c:pt idx="20">
                  <c:v>0.62705388791672279</c:v>
                </c:pt>
                <c:pt idx="21">
                  <c:v>0.62076158449158059</c:v>
                </c:pt>
                <c:pt idx="22">
                  <c:v>0.61509135912429491</c:v>
                </c:pt>
                <c:pt idx="23">
                  <c:v>0.60997063980158672</c:v>
                </c:pt>
                <c:pt idx="24">
                  <c:v>0.60533709054231388</c:v>
                </c:pt>
                <c:pt idx="25">
                  <c:v>0.6011369070909961</c:v>
                </c:pt>
                <c:pt idx="26">
                  <c:v>0.59732343912646313</c:v>
                </c:pt>
                <c:pt idx="27">
                  <c:v>0.59385606854229334</c:v>
                </c:pt>
                <c:pt idx="28">
                  <c:v>0.59069929017593292</c:v>
                </c:pt>
                <c:pt idx="29">
                  <c:v>0.5878219537996715</c:v>
                </c:pt>
                <c:pt idx="30">
                  <c:v>0.58519663547237077</c:v>
                </c:pt>
                <c:pt idx="31">
                  <c:v>0.5827991133482302</c:v>
                </c:pt>
                <c:pt idx="32">
                  <c:v>0.58060792835749786</c:v>
                </c:pt>
                <c:pt idx="33">
                  <c:v>0.57860401424957186</c:v>
                </c:pt>
                <c:pt idx="34">
                  <c:v>0.57677038463583807</c:v>
                </c:pt>
                <c:pt idx="35">
                  <c:v>0.57509186711700133</c:v>
                </c:pt>
                <c:pt idx="36">
                  <c:v>0.57355487649605297</c:v>
                </c:pt>
                <c:pt idx="37">
                  <c:v>0.57214722058828849</c:v>
                </c:pt>
                <c:pt idx="38">
                  <c:v>0.57085793333726931</c:v>
                </c:pt>
                <c:pt idx="39">
                  <c:v>0.56967713090062022</c:v>
                </c:pt>
                <c:pt idx="40">
                  <c:v>0.56859588713534204</c:v>
                </c:pt>
                <c:pt idx="41">
                  <c:v>0.56760612552963119</c:v>
                </c:pt>
                <c:pt idx="42">
                  <c:v>0.56670052512827562</c:v>
                </c:pt>
                <c:pt idx="43">
                  <c:v>0.56587243840575385</c:v>
                </c:pt>
                <c:pt idx="44">
                  <c:v>0.56511581937399613</c:v>
                </c:pt>
                <c:pt idx="45">
                  <c:v>0.56442516048509395</c:v>
                </c:pt>
                <c:pt idx="46">
                  <c:v>0.56379543711462976</c:v>
                </c:pt>
                <c:pt idx="47">
                  <c:v>0.5632220585979022</c:v>
                </c:pt>
                <c:pt idx="48">
                  <c:v>0.56270082494638829</c:v>
                </c:pt>
                <c:pt idx="49">
                  <c:v>0.56222788850112537</c:v>
                </c:pt>
                <c:pt idx="50">
                  <c:v>0.56179971988795518</c:v>
                </c:pt>
              </c:numCache>
            </c:numRef>
          </c:yVal>
          <c:smooth val="1"/>
        </c:ser>
        <c:ser>
          <c:idx val="3"/>
          <c:order val="3"/>
          <c:tx>
            <c:v>Flyback 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Flyback_DCM_Calc!$Q$4:$Q$54</c:f>
              <c:numCache>
                <c:formatCode>##0.00E+0</c:formatCode>
                <c:ptCount val="51"/>
                <c:pt idx="0">
                  <c:v>1.0832513403280237</c:v>
                </c:pt>
                <c:pt idx="1">
                  <c:v>1.0832513403280235</c:v>
                </c:pt>
                <c:pt idx="2">
                  <c:v>1.0832513403280237</c:v>
                </c:pt>
                <c:pt idx="3">
                  <c:v>1.0832513403280237</c:v>
                </c:pt>
                <c:pt idx="4">
                  <c:v>1.0832513403280237</c:v>
                </c:pt>
                <c:pt idx="5">
                  <c:v>1.0832513403280235</c:v>
                </c:pt>
                <c:pt idx="6">
                  <c:v>1.0832513403280235</c:v>
                </c:pt>
                <c:pt idx="7">
                  <c:v>1.0832513403280237</c:v>
                </c:pt>
                <c:pt idx="8">
                  <c:v>1.0832513403280235</c:v>
                </c:pt>
                <c:pt idx="9">
                  <c:v>1.0832513403280237</c:v>
                </c:pt>
                <c:pt idx="10">
                  <c:v>1.0832513403280237</c:v>
                </c:pt>
                <c:pt idx="11">
                  <c:v>1.0832513403280237</c:v>
                </c:pt>
                <c:pt idx="12">
                  <c:v>1.0832513403280237</c:v>
                </c:pt>
                <c:pt idx="13">
                  <c:v>1.0832513403280237</c:v>
                </c:pt>
                <c:pt idx="14">
                  <c:v>1.0832513403280235</c:v>
                </c:pt>
                <c:pt idx="15">
                  <c:v>1.0832513403280235</c:v>
                </c:pt>
                <c:pt idx="16">
                  <c:v>1.0832513403280237</c:v>
                </c:pt>
                <c:pt idx="17">
                  <c:v>1.0832513403280237</c:v>
                </c:pt>
                <c:pt idx="18">
                  <c:v>1.0832513403280237</c:v>
                </c:pt>
                <c:pt idx="19">
                  <c:v>1.0832513403280237</c:v>
                </c:pt>
                <c:pt idx="20">
                  <c:v>1.0832513403280235</c:v>
                </c:pt>
                <c:pt idx="21">
                  <c:v>1.0832513403280237</c:v>
                </c:pt>
                <c:pt idx="22">
                  <c:v>1.0832513403280237</c:v>
                </c:pt>
                <c:pt idx="23">
                  <c:v>1.0832513403280237</c:v>
                </c:pt>
                <c:pt idx="24">
                  <c:v>1.0832513403280235</c:v>
                </c:pt>
                <c:pt idx="25">
                  <c:v>1.0832513403280237</c:v>
                </c:pt>
                <c:pt idx="26">
                  <c:v>1.0832513403280237</c:v>
                </c:pt>
                <c:pt idx="27">
                  <c:v>1.0832513403280237</c:v>
                </c:pt>
                <c:pt idx="28">
                  <c:v>1.0832513403280237</c:v>
                </c:pt>
                <c:pt idx="29">
                  <c:v>1.0832513403280237</c:v>
                </c:pt>
                <c:pt idx="30">
                  <c:v>1.0832513403280235</c:v>
                </c:pt>
                <c:pt idx="31">
                  <c:v>1.0832513403280235</c:v>
                </c:pt>
                <c:pt idx="32">
                  <c:v>1.0832513403280237</c:v>
                </c:pt>
                <c:pt idx="33">
                  <c:v>1.0832513403280237</c:v>
                </c:pt>
                <c:pt idx="34">
                  <c:v>1.0832513403280235</c:v>
                </c:pt>
                <c:pt idx="35">
                  <c:v>1.0832513403280237</c:v>
                </c:pt>
                <c:pt idx="36">
                  <c:v>1.0832513403280235</c:v>
                </c:pt>
                <c:pt idx="37">
                  <c:v>1.0832513403280235</c:v>
                </c:pt>
                <c:pt idx="38">
                  <c:v>1.0832513403280235</c:v>
                </c:pt>
                <c:pt idx="39">
                  <c:v>1.0832513403280237</c:v>
                </c:pt>
                <c:pt idx="40">
                  <c:v>1.0832513403280237</c:v>
                </c:pt>
                <c:pt idx="41">
                  <c:v>1.0832513403280235</c:v>
                </c:pt>
                <c:pt idx="42">
                  <c:v>1.0832513403280237</c:v>
                </c:pt>
                <c:pt idx="43">
                  <c:v>1.0832513403280235</c:v>
                </c:pt>
                <c:pt idx="44">
                  <c:v>1.0832513403280237</c:v>
                </c:pt>
                <c:pt idx="45">
                  <c:v>1.0832513403280235</c:v>
                </c:pt>
                <c:pt idx="46">
                  <c:v>1.0832513403280235</c:v>
                </c:pt>
                <c:pt idx="47">
                  <c:v>1.0832513403280237</c:v>
                </c:pt>
                <c:pt idx="48">
                  <c:v>1.0832513403280235</c:v>
                </c:pt>
                <c:pt idx="49">
                  <c:v>1.0832513403280237</c:v>
                </c:pt>
                <c:pt idx="50">
                  <c:v>1.0832513403280237</c:v>
                </c:pt>
              </c:numCache>
            </c:numRef>
          </c:yVal>
          <c:smooth val="1"/>
        </c:ser>
        <c:dLbls>
          <c:showLegendKey val="0"/>
          <c:showVal val="0"/>
          <c:showCatName val="0"/>
          <c:showSerName val="0"/>
          <c:showPercent val="0"/>
          <c:showBubbleSize val="0"/>
        </c:dLbls>
        <c:axId val="115168384"/>
        <c:axId val="115170304"/>
      </c:scatterChart>
      <c:valAx>
        <c:axId val="11516838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5170304"/>
        <c:crosses val="autoZero"/>
        <c:crossBetween val="midCat"/>
      </c:valAx>
      <c:valAx>
        <c:axId val="115170304"/>
        <c:scaling>
          <c:orientation val="minMax"/>
        </c:scaling>
        <c:delete val="0"/>
        <c:axPos val="l"/>
        <c:majorGridlines/>
        <c:title>
          <c:tx>
            <c:rich>
              <a:bodyPr rot="-5400000" vert="horz"/>
              <a:lstStyle/>
              <a:p>
                <a:pPr>
                  <a:defRPr/>
                </a:pPr>
                <a:r>
                  <a:rPr lang="en-US"/>
                  <a:t>IL</a:t>
                </a:r>
                <a:r>
                  <a:rPr lang="en-US" baseline="0"/>
                  <a:t> Peak (A)</a:t>
                </a:r>
                <a:endParaRPr lang="en-US"/>
              </a:p>
            </c:rich>
          </c:tx>
          <c:overlay val="0"/>
        </c:title>
        <c:numFmt formatCode="General" sourceLinked="1"/>
        <c:majorTickMark val="out"/>
        <c:minorTickMark val="none"/>
        <c:tickLblPos val="nextTo"/>
        <c:crossAx val="1151683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'Fly-BB_Calc'!$Q$4:$Q$54</c:f>
              <c:numCache>
                <c:formatCode>General</c:formatCode>
                <c:ptCount val="51"/>
                <c:pt idx="0">
                  <c:v>0.7142857142857143</c:v>
                </c:pt>
                <c:pt idx="1">
                  <c:v>0.67934782608695654</c:v>
                </c:pt>
                <c:pt idx="2">
                  <c:v>0.64766839378238339</c:v>
                </c:pt>
                <c:pt idx="3">
                  <c:v>0.61881188118811881</c:v>
                </c:pt>
                <c:pt idx="4">
                  <c:v>0.59241706161137442</c:v>
                </c:pt>
                <c:pt idx="5">
                  <c:v>0.56818181818181823</c:v>
                </c:pt>
                <c:pt idx="6">
                  <c:v>0.54585152838427942</c:v>
                </c:pt>
                <c:pt idx="7">
                  <c:v>0.52521008403361336</c:v>
                </c:pt>
                <c:pt idx="8">
                  <c:v>0.50607287449392713</c:v>
                </c:pt>
                <c:pt idx="9">
                  <c:v>0.48828125</c:v>
                </c:pt>
                <c:pt idx="10">
                  <c:v>0.47169811320754718</c:v>
                </c:pt>
                <c:pt idx="11">
                  <c:v>0.45620437956204374</c:v>
                </c:pt>
                <c:pt idx="12">
                  <c:v>0.44169611307420492</c:v>
                </c:pt>
                <c:pt idx="13">
                  <c:v>0.42808219178082191</c:v>
                </c:pt>
                <c:pt idx="14">
                  <c:v>0.41528239202657802</c:v>
                </c:pt>
                <c:pt idx="15">
                  <c:v>0.40322580645161288</c:v>
                </c:pt>
                <c:pt idx="16">
                  <c:v>0.39184952978056425</c:v>
                </c:pt>
                <c:pt idx="17">
                  <c:v>0.38109756097560976</c:v>
                </c:pt>
                <c:pt idx="18">
                  <c:v>0.37091988130563802</c:v>
                </c:pt>
                <c:pt idx="19">
                  <c:v>0.36127167630057799</c:v>
                </c:pt>
                <c:pt idx="20">
                  <c:v>0.352112676056338</c:v>
                </c:pt>
                <c:pt idx="21">
                  <c:v>0.34340659340659341</c:v>
                </c:pt>
                <c:pt idx="22">
                  <c:v>0.33512064343163533</c:v>
                </c:pt>
                <c:pt idx="23">
                  <c:v>0.32722513089005234</c:v>
                </c:pt>
                <c:pt idx="24">
                  <c:v>0.31969309462915602</c:v>
                </c:pt>
                <c:pt idx="25">
                  <c:v>0.3125</c:v>
                </c:pt>
                <c:pt idx="26">
                  <c:v>0.30562347188264061</c:v>
                </c:pt>
                <c:pt idx="27">
                  <c:v>0.29904306220095689</c:v>
                </c:pt>
                <c:pt idx="28">
                  <c:v>0.29274004683840749</c:v>
                </c:pt>
                <c:pt idx="29">
                  <c:v>0.28669724770642202</c:v>
                </c:pt>
                <c:pt idx="30">
                  <c:v>0.28089887640449435</c:v>
                </c:pt>
                <c:pt idx="31">
                  <c:v>0.2753303964757709</c:v>
                </c:pt>
                <c:pt idx="32">
                  <c:v>0.26997840172786175</c:v>
                </c:pt>
                <c:pt idx="33">
                  <c:v>0.26483050847457629</c:v>
                </c:pt>
                <c:pt idx="34">
                  <c:v>0.25987525987525989</c:v>
                </c:pt>
                <c:pt idx="35">
                  <c:v>0.25510204081632654</c:v>
                </c:pt>
                <c:pt idx="36">
                  <c:v>0.25050100200400799</c:v>
                </c:pt>
                <c:pt idx="37">
                  <c:v>0.24606299212598426</c:v>
                </c:pt>
                <c:pt idx="38">
                  <c:v>0.24177949709864602</c:v>
                </c:pt>
                <c:pt idx="39">
                  <c:v>0.23764258555133078</c:v>
                </c:pt>
                <c:pt idx="40">
                  <c:v>0.23364485981308411</c:v>
                </c:pt>
                <c:pt idx="41">
                  <c:v>0.22977941176470587</c:v>
                </c:pt>
                <c:pt idx="42">
                  <c:v>0.22603978300180833</c:v>
                </c:pt>
                <c:pt idx="43">
                  <c:v>0.22241992882562278</c:v>
                </c:pt>
                <c:pt idx="44">
                  <c:v>0.2189141856392294</c:v>
                </c:pt>
                <c:pt idx="45">
                  <c:v>0.21551724137931036</c:v>
                </c:pt>
                <c:pt idx="46">
                  <c:v>0.21222410865874361</c:v>
                </c:pt>
                <c:pt idx="47">
                  <c:v>0.20903010033444813</c:v>
                </c:pt>
                <c:pt idx="48">
                  <c:v>0.20593080724876442</c:v>
                </c:pt>
                <c:pt idx="49">
                  <c:v>0.20292207792207792</c:v>
                </c:pt>
                <c:pt idx="50">
                  <c:v>0.2</c:v>
                </c:pt>
              </c:numCache>
            </c:numRef>
          </c:yVal>
          <c:smooth val="1"/>
        </c:ser>
        <c:dLbls>
          <c:showLegendKey val="0"/>
          <c:showVal val="0"/>
          <c:showCatName val="0"/>
          <c:showSerName val="0"/>
          <c:showPercent val="0"/>
          <c:showBubbleSize val="0"/>
        </c:dLbls>
        <c:axId val="119617024"/>
        <c:axId val="119618944"/>
      </c:scatterChart>
      <c:valAx>
        <c:axId val="119617024"/>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19618944"/>
        <c:crosses val="autoZero"/>
        <c:crossBetween val="midCat"/>
      </c:valAx>
      <c:valAx>
        <c:axId val="119618944"/>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119617024"/>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'Fly-BB_Calc'!$T$4:$T$54</c:f>
              <c:numCache>
                <c:formatCode>General</c:formatCode>
                <c:ptCount val="51"/>
                <c:pt idx="0">
                  <c:v>1.7976190476190477</c:v>
                </c:pt>
                <c:pt idx="1">
                  <c:v>1.6127640628838125</c:v>
                </c:pt>
                <c:pt idx="2">
                  <c:v>1.4778395814284264</c:v>
                </c:pt>
                <c:pt idx="3">
                  <c:v>1.3752196648236252</c:v>
                </c:pt>
                <c:pt idx="4">
                  <c:v>1.2946746757779493</c:v>
                </c:pt>
                <c:pt idx="5">
                  <c:v>1.2298644338118021</c:v>
                </c:pt>
                <c:pt idx="6">
                  <c:v>1.1766529503974921</c:v>
                </c:pt>
                <c:pt idx="7">
                  <c:v>1.1322289977938078</c:v>
                </c:pt>
                <c:pt idx="8">
                  <c:v>1.0946162695515584</c:v>
                </c:pt>
                <c:pt idx="9">
                  <c:v>1.0623856949745547</c:v>
                </c:pt>
                <c:pt idx="10">
                  <c:v>1.0344788858939802</c:v>
                </c:pt>
                <c:pt idx="11">
                  <c:v>1.0100956906546483</c:v>
                </c:pt>
                <c:pt idx="12">
                  <c:v>0.98862026807413039</c:v>
                </c:pt>
                <c:pt idx="13">
                  <c:v>0.96957113170918441</c:v>
                </c:pt>
                <c:pt idx="14">
                  <c:v>0.9525665710258735</c:v>
                </c:pt>
                <c:pt idx="15">
                  <c:v>0.93730020342923559</c:v>
                </c:pt>
                <c:pt idx="16">
                  <c:v>0.92352336015684755</c:v>
                </c:pt>
                <c:pt idx="17">
                  <c:v>0.91103217990307983</c:v>
                </c:pt>
                <c:pt idx="18">
                  <c:v>0.8996580072037772</c:v>
                </c:pt>
                <c:pt idx="19">
                  <c:v>0.88926015048082363</c:v>
                </c:pt>
                <c:pt idx="20">
                  <c:v>0.87972035109205959</c:v>
                </c:pt>
                <c:pt idx="21">
                  <c:v>0.87093851058286209</c:v>
                </c:pt>
                <c:pt idx="22">
                  <c:v>0.86282935512698566</c:v>
                </c:pt>
                <c:pt idx="23">
                  <c:v>0.85531980633025706</c:v>
                </c:pt>
                <c:pt idx="24">
                  <c:v>0.84834689024351162</c:v>
                </c:pt>
                <c:pt idx="25">
                  <c:v>0.84185606060606066</c:v>
                </c:pt>
                <c:pt idx="26">
                  <c:v>0.83579984388810447</c:v>
                </c:pt>
                <c:pt idx="27">
                  <c:v>0.83013673650461872</c:v>
                </c:pt>
                <c:pt idx="28">
                  <c:v>0.8248303012443714</c:v>
                </c:pt>
                <c:pt idx="29">
                  <c:v>0.81984842227401011</c:v>
                </c:pt>
                <c:pt idx="30">
                  <c:v>0.81516268726591767</c:v>
                </c:pt>
                <c:pt idx="31">
                  <c:v>0.81074787211726007</c:v>
                </c:pt>
                <c:pt idx="32">
                  <c:v>0.80658150898224013</c:v>
                </c:pt>
                <c:pt idx="33">
                  <c:v>0.80264352236278669</c:v>
                </c:pt>
                <c:pt idx="34">
                  <c:v>0.79891592110693233</c:v>
                </c:pt>
                <c:pt idx="35">
                  <c:v>0.79538253657627433</c:v>
                </c:pt>
                <c:pt idx="36">
                  <c:v>0.79202879913123947</c:v>
                </c:pt>
                <c:pt idx="37">
                  <c:v>0.78884154656908101</c:v>
                </c:pt>
                <c:pt idx="38">
                  <c:v>0.78580885932709643</c:v>
                </c:pt>
                <c:pt idx="39">
                  <c:v>0.78291991820196027</c:v>
                </c:pt>
                <c:pt idx="40">
                  <c:v>0.78016488108806326</c:v>
                </c:pt>
                <c:pt idx="41">
                  <c:v>0.77753477584351161</c:v>
                </c:pt>
                <c:pt idx="42">
                  <c:v>0.77502140688287624</c:v>
                </c:pt>
                <c:pt idx="43">
                  <c:v>0.77261727349473786</c:v>
                </c:pt>
                <c:pt idx="44">
                  <c:v>0.77031549820811052</c:v>
                </c:pt>
                <c:pt idx="45">
                  <c:v>0.76810976379941887</c:v>
                </c:pt>
                <c:pt idx="46">
                  <c:v>0.76599425775227836</c:v>
                </c:pt>
                <c:pt idx="47">
                  <c:v>0.76396362316483657</c:v>
                </c:pt>
                <c:pt idx="48">
                  <c:v>0.76201291525107029</c:v>
                </c:pt>
                <c:pt idx="49">
                  <c:v>0.7601375627088458</c:v>
                </c:pt>
                <c:pt idx="50">
                  <c:v>0.7583333333333333</c:v>
                </c:pt>
              </c:numCache>
            </c:numRef>
          </c:yVal>
          <c:smooth val="1"/>
        </c:ser>
        <c:dLbls>
          <c:showLegendKey val="0"/>
          <c:showVal val="0"/>
          <c:showCatName val="0"/>
          <c:showSerName val="0"/>
          <c:showPercent val="0"/>
          <c:showBubbleSize val="0"/>
        </c:dLbls>
        <c:axId val="119660544"/>
        <c:axId val="119662464"/>
      </c:scatterChart>
      <c:valAx>
        <c:axId val="119660544"/>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19662464"/>
        <c:crosses val="autoZero"/>
        <c:crossBetween val="midCat"/>
      </c:valAx>
      <c:valAx>
        <c:axId val="119662464"/>
        <c:scaling>
          <c:orientation val="minMax"/>
        </c:scaling>
        <c:delete val="0"/>
        <c:axPos val="l"/>
        <c:majorGridlines/>
        <c:title>
          <c:tx>
            <c:rich>
              <a:bodyPr rot="-5400000" vert="horz"/>
              <a:lstStyle/>
              <a:p>
                <a:pPr>
                  <a:defRPr/>
                </a:pPr>
                <a:r>
                  <a:rPr lang="en-US"/>
                  <a:t>Peak</a:t>
                </a:r>
                <a:r>
                  <a:rPr lang="en-US" baseline="0"/>
                  <a:t> Current (A)</a:t>
                </a:r>
                <a:endParaRPr lang="en-US"/>
              </a:p>
            </c:rich>
          </c:tx>
          <c:layout/>
          <c:overlay val="0"/>
        </c:title>
        <c:numFmt formatCode="General" sourceLinked="0"/>
        <c:majorTickMark val="out"/>
        <c:minorTickMark val="none"/>
        <c:tickLblPos val="nextTo"/>
        <c:crossAx val="119660544"/>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'Fly-BB_Calc'!$V$4:$V$54</c:f>
              <c:numCache>
                <c:formatCode>0.0000</c:formatCode>
                <c:ptCount val="51"/>
                <c:pt idx="0">
                  <c:v>1.4792024535198292</c:v>
                </c:pt>
                <c:pt idx="1">
                  <c:v>1.285484709753147</c:v>
                </c:pt>
                <c:pt idx="2">
                  <c:v>1.1424012066141054</c:v>
                </c:pt>
                <c:pt idx="3">
                  <c:v>1.0322376797291608</c:v>
                </c:pt>
                <c:pt idx="4">
                  <c:v>0.94469066434977456</c:v>
                </c:pt>
                <c:pt idx="5">
                  <c:v>0.87335779901197885</c:v>
                </c:pt>
                <c:pt idx="6">
                  <c:v>0.81405034792153608</c:v>
                </c:pt>
                <c:pt idx="7">
                  <c:v>0.76391203845155231</c:v>
                </c:pt>
                <c:pt idx="8">
                  <c:v>0.72092785571989615</c:v>
                </c:pt>
                <c:pt idx="9">
                  <c:v>0.68363527072827845</c:v>
                </c:pt>
                <c:pt idx="10">
                  <c:v>0.65094681650113451</c:v>
                </c:pt>
                <c:pt idx="11">
                  <c:v>0.62203693914046576</c:v>
                </c:pt>
                <c:pt idx="12">
                  <c:v>0.59626750025816311</c:v>
                </c:pt>
                <c:pt idx="13">
                  <c:v>0.57313735344583405</c:v>
                </c:pt>
                <c:pt idx="14">
                  <c:v>0.55224738011891128</c:v>
                </c:pt>
                <c:pt idx="15">
                  <c:v>0.5332757222379545</c:v>
                </c:pt>
                <c:pt idx="16">
                  <c:v>0.5159599020870459</c:v>
                </c:pt>
                <c:pt idx="17">
                  <c:v>0.5000836929107616</c:v>
                </c:pt>
                <c:pt idx="18">
                  <c:v>0.4854673294871365</c:v>
                </c:pt>
                <c:pt idx="19">
                  <c:v>0.47196010721313031</c:v>
                </c:pt>
                <c:pt idx="20">
                  <c:v>0.4594347159899107</c:v>
                </c:pt>
                <c:pt idx="21">
                  <c:v>0.44778285203423984</c:v>
                </c:pt>
                <c:pt idx="22">
                  <c:v>0.43691178331030084</c:v>
                </c:pt>
                <c:pt idx="23">
                  <c:v>0.42674163507652174</c:v>
                </c:pt>
                <c:pt idx="24">
                  <c:v>0.41720322520324687</c:v>
                </c:pt>
                <c:pt idx="25">
                  <c:v>0.40823632348263139</c:v>
                </c:pt>
                <c:pt idx="26">
                  <c:v>0.39978824101327021</c:v>
                </c:pt>
                <c:pt idx="27">
                  <c:v>0.39181267879988768</c:v>
                </c:pt>
                <c:pt idx="28">
                  <c:v>0.38426878158552236</c:v>
                </c:pt>
                <c:pt idx="29">
                  <c:v>0.37712035541791633</c:v>
                </c:pt>
                <c:pt idx="30">
                  <c:v>0.37033521677823472</c:v>
                </c:pt>
                <c:pt idx="31">
                  <c:v>0.36388464813222376</c:v>
                </c:pt>
                <c:pt idx="32">
                  <c:v>0.35774294011209107</c:v>
                </c:pt>
                <c:pt idx="33">
                  <c:v>0.35188700463824441</c:v>
                </c:pt>
                <c:pt idx="34">
                  <c:v>0.34629604645869333</c:v>
                </c:pt>
                <c:pt idx="35">
                  <c:v>0.34095128305009842</c:v>
                </c:pt>
                <c:pt idx="36">
                  <c:v>0.33583570475709812</c:v>
                </c:pt>
                <c:pt idx="37">
                  <c:v>0.33093386857090268</c:v>
                </c:pt>
                <c:pt idx="38">
                  <c:v>0.32623172015791496</c:v>
                </c:pt>
                <c:pt idx="39">
                  <c:v>0.32171643971483826</c:v>
                </c:pt>
                <c:pt idx="40">
                  <c:v>0.31737630800191213</c:v>
                </c:pt>
                <c:pt idx="41">
                  <c:v>0.31320058953145025</c:v>
                </c:pt>
                <c:pt idx="42">
                  <c:v>0.30917943039617951</c:v>
                </c:pt>
                <c:pt idx="43">
                  <c:v>0.30530376863531644</c:v>
                </c:pt>
                <c:pt idx="44">
                  <c:v>0.30156525537479834</c:v>
                </c:pt>
                <c:pt idx="45">
                  <c:v>0.29795618525640039</c:v>
                </c:pt>
                <c:pt idx="46">
                  <c:v>0.29446943490030314</c:v>
                </c:pt>
                <c:pt idx="47">
                  <c:v>0.29109840833621198</c:v>
                </c:pt>
                <c:pt idx="48">
                  <c:v>0.2878369884967148</c:v>
                </c:pt>
                <c:pt idx="49">
                  <c:v>0.28467949399904519</c:v>
                </c:pt>
                <c:pt idx="50">
                  <c:v>0.28162064055247293</c:v>
                </c:pt>
              </c:numCache>
            </c:numRef>
          </c:yVal>
          <c:smooth val="1"/>
        </c:ser>
        <c:dLbls>
          <c:showLegendKey val="0"/>
          <c:showVal val="0"/>
          <c:showCatName val="0"/>
          <c:showSerName val="0"/>
          <c:showPercent val="0"/>
          <c:showBubbleSize val="0"/>
        </c:dLbls>
        <c:axId val="126617856"/>
        <c:axId val="126640512"/>
      </c:scatterChart>
      <c:valAx>
        <c:axId val="12661785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26640512"/>
        <c:crosses val="autoZero"/>
        <c:crossBetween val="midCat"/>
      </c:valAx>
      <c:valAx>
        <c:axId val="126640512"/>
        <c:scaling>
          <c:orientation val="minMax"/>
        </c:scaling>
        <c:delete val="0"/>
        <c:axPos val="l"/>
        <c:majorGridlines/>
        <c:title>
          <c:tx>
            <c:rich>
              <a:bodyPr rot="-5400000" vert="horz"/>
              <a:lstStyle/>
              <a:p>
                <a:pPr>
                  <a:defRPr/>
                </a:pPr>
                <a:r>
                  <a:rPr lang="en-US" baseline="0"/>
                  <a:t>Primary RMS Current (A)</a:t>
                </a:r>
                <a:endParaRPr lang="en-US"/>
              </a:p>
            </c:rich>
          </c:tx>
          <c:layout/>
          <c:overlay val="0"/>
        </c:title>
        <c:numFmt formatCode="General" sourceLinked="0"/>
        <c:majorTickMark val="out"/>
        <c:minorTickMark val="none"/>
        <c:tickLblPos val="nextTo"/>
        <c:crossAx val="126617856"/>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 Power Efficiency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'Fly-BB_Calc'!$CU$4:$CU$54</c:f>
              <c:numCache>
                <c:formatCode>General</c:formatCode>
                <c:ptCount val="51"/>
                <c:pt idx="0">
                  <c:v>0.88007509974184461</c:v>
                </c:pt>
                <c:pt idx="1">
                  <c:v>0.89733442563218746</c:v>
                </c:pt>
                <c:pt idx="2">
                  <c:v>0.90836161767457224</c:v>
                </c:pt>
                <c:pt idx="3">
                  <c:v>0.91569073363822018</c:v>
                </c:pt>
                <c:pt idx="4">
                  <c:v>0.9206936156676726</c:v>
                </c:pt>
                <c:pt idx="5">
                  <c:v>0.92416211349714272</c:v>
                </c:pt>
                <c:pt idx="6">
                  <c:v>0.92657821035086607</c:v>
                </c:pt>
                <c:pt idx="7">
                  <c:v>0.92824857538877581</c:v>
                </c:pt>
                <c:pt idx="8">
                  <c:v>0.92937577090900148</c:v>
                </c:pt>
                <c:pt idx="9">
                  <c:v>0.93009793554799569</c:v>
                </c:pt>
                <c:pt idx="10">
                  <c:v>0.93051190308294418</c:v>
                </c:pt>
                <c:pt idx="11">
                  <c:v>0.93068719835611569</c:v>
                </c:pt>
                <c:pt idx="12">
                  <c:v>0.93067479883648385</c:v>
                </c:pt>
                <c:pt idx="13">
                  <c:v>0.93051278321434383</c:v>
                </c:pt>
                <c:pt idx="14">
                  <c:v>0.93023006912301642</c:v>
                </c:pt>
                <c:pt idx="15">
                  <c:v>0.92984894444281385</c:v>
                </c:pt>
                <c:pt idx="16">
                  <c:v>0.92938681756742292</c:v>
                </c:pt>
                <c:pt idx="17">
                  <c:v>0.92885745048397472</c:v>
                </c:pt>
                <c:pt idx="18">
                  <c:v>0.9282718423321743</c:v>
                </c:pt>
                <c:pt idx="19">
                  <c:v>0.92763887234417486</c:v>
                </c:pt>
                <c:pt idx="20">
                  <c:v>0.92696577432085425</c:v>
                </c:pt>
                <c:pt idx="21">
                  <c:v>0.92625849132995342</c:v>
                </c:pt>
                <c:pt idx="22">
                  <c:v>0.92552194402729926</c:v>
                </c:pt>
                <c:pt idx="23">
                  <c:v>0.92476023587020872</c:v>
                </c:pt>
                <c:pt idx="24">
                  <c:v>0.9239768116643996</c:v>
                </c:pt>
                <c:pt idx="25">
                  <c:v>0.92317458121443996</c:v>
                </c:pt>
                <c:pt idx="26">
                  <c:v>0.92235601660664435</c:v>
                </c:pt>
                <c:pt idx="27">
                  <c:v>0.92152322937498365</c:v>
                </c:pt>
                <c:pt idx="28">
                  <c:v>0.92067803217940614</c:v>
                </c:pt>
                <c:pt idx="29">
                  <c:v>0.91982198845926266</c:v>
                </c:pt>
                <c:pt idx="30">
                  <c:v>0.91895645267589043</c:v>
                </c:pt>
                <c:pt idx="31">
                  <c:v>0.91808260313497048</c:v>
                </c:pt>
                <c:pt idx="32">
                  <c:v>0.91720146891692733</c:v>
                </c:pt>
                <c:pt idx="33">
                  <c:v>0.91631395209776267</c:v>
                </c:pt>
                <c:pt idx="34">
                  <c:v>0.91542084618176489</c:v>
                </c:pt>
                <c:pt idx="35">
                  <c:v>0.9145228514691397</c:v>
                </c:pt>
                <c:pt idx="36">
                  <c:v>0.91362058792962186</c:v>
                </c:pt>
                <c:pt idx="37">
                  <c:v>0.9127146060358845</c:v>
                </c:pt>
                <c:pt idx="38">
                  <c:v>0.91180539591950505</c:v>
                </c:pt>
                <c:pt idx="39">
                  <c:v>0.91089339514108325</c:v>
                </c:pt>
                <c:pt idx="40">
                  <c:v>0.90997899531014537</c:v>
                </c:pt>
                <c:pt idx="41">
                  <c:v>0.90906254774621542</c:v>
                </c:pt>
                <c:pt idx="42">
                  <c:v>0.90814436833723955</c:v>
                </c:pt>
                <c:pt idx="43">
                  <c:v>0.90722474172342027</c:v>
                </c:pt>
                <c:pt idx="44">
                  <c:v>0.90630392491191492</c:v>
                </c:pt>
                <c:pt idx="45">
                  <c:v>0.90538215040960057</c:v>
                </c:pt>
                <c:pt idx="46">
                  <c:v>0.9044596289463237</c:v>
                </c:pt>
                <c:pt idx="47">
                  <c:v>0.90353655184898507</c:v>
                </c:pt>
                <c:pt idx="48">
                  <c:v>0.90261309311696336</c:v>
                </c:pt>
                <c:pt idx="49">
                  <c:v>0.90168941124127289</c:v>
                </c:pt>
                <c:pt idx="50">
                  <c:v>0.90076565080318272</c:v>
                </c:pt>
              </c:numCache>
            </c:numRef>
          </c:yVal>
          <c:smooth val="1"/>
        </c:ser>
        <c:dLbls>
          <c:showLegendKey val="0"/>
          <c:showVal val="0"/>
          <c:showCatName val="0"/>
          <c:showSerName val="0"/>
          <c:showPercent val="0"/>
          <c:showBubbleSize val="0"/>
        </c:dLbls>
        <c:axId val="126673280"/>
        <c:axId val="126675200"/>
      </c:scatterChart>
      <c:valAx>
        <c:axId val="126673280"/>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26675200"/>
        <c:crosses val="autoZero"/>
        <c:crossBetween val="midCat"/>
      </c:valAx>
      <c:valAx>
        <c:axId val="126675200"/>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126673280"/>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'Fly-BB_Calc'!$CE$4:$CE$54</c:f>
              <c:numCache>
                <c:formatCode>General</c:formatCode>
                <c:ptCount val="51"/>
                <c:pt idx="0">
                  <c:v>0.11437500000000002</c:v>
                </c:pt>
                <c:pt idx="1">
                  <c:v>8.3551422005170961E-2</c:v>
                </c:pt>
                <c:pt idx="2">
                  <c:v>6.4134407439446373E-2</c:v>
                </c:pt>
                <c:pt idx="3">
                  <c:v>5.1118654073199529E-2</c:v>
                </c:pt>
                <c:pt idx="4">
                  <c:v>4.1970997836668467E-2</c:v>
                </c:pt>
                <c:pt idx="5">
                  <c:v>3.5297783933518005E-2</c:v>
                </c:pt>
                <c:pt idx="6">
                  <c:v>3.0280833949704142E-2</c:v>
                </c:pt>
                <c:pt idx="7">
                  <c:v>2.6414167123502235E-2</c:v>
                </c:pt>
                <c:pt idx="8">
                  <c:v>2.3371237570545551E-2</c:v>
                </c:pt>
                <c:pt idx="9">
                  <c:v>2.0933657712254531E-2</c:v>
                </c:pt>
                <c:pt idx="10">
                  <c:v>1.8950892857142857E-2</c:v>
                </c:pt>
                <c:pt idx="11">
                  <c:v>1.7316449709472544E-2</c:v>
                </c:pt>
                <c:pt idx="12">
                  <c:v>1.5953272712706298E-2</c:v>
                </c:pt>
                <c:pt idx="13">
                  <c:v>1.4804492810785615E-2</c:v>
                </c:pt>
                <c:pt idx="14">
                  <c:v>1.3827398631198348E-2</c:v>
                </c:pt>
                <c:pt idx="15">
                  <c:v>1.2989408327246162E-2</c:v>
                </c:pt>
                <c:pt idx="16">
                  <c:v>1.2265317780848124E-2</c:v>
                </c:pt>
                <c:pt idx="17">
                  <c:v>1.1635383047392561E-2</c:v>
                </c:pt>
                <c:pt idx="18">
                  <c:v>1.1083960039159842E-2</c:v>
                </c:pt>
                <c:pt idx="19">
                  <c:v>1.0598523781249359E-2</c:v>
                </c:pt>
                <c:pt idx="20">
                  <c:v>1.0168950850661626E-2</c:v>
                </c:pt>
                <c:pt idx="21">
                  <c:v>9.7869872726317822E-3</c:v>
                </c:pt>
                <c:pt idx="22">
                  <c:v>9.4458490504682625E-3</c:v>
                </c:pt>
                <c:pt idx="23">
                  <c:v>9.1399188481279051E-3</c:v>
                </c:pt>
                <c:pt idx="24">
                  <c:v>8.8645132568262765E-3</c:v>
                </c:pt>
                <c:pt idx="25">
                  <c:v>8.6157024793388423E-3</c:v>
                </c:pt>
                <c:pt idx="26">
                  <c:v>8.3901693612378498E-3</c:v>
                </c:pt>
                <c:pt idx="27">
                  <c:v>8.1850982539109357E-3</c:v>
                </c:pt>
                <c:pt idx="28">
                  <c:v>7.9980867067233896E-3</c:v>
                </c:pt>
                <c:pt idx="29">
                  <c:v>7.8270747821052311E-3</c:v>
                </c:pt>
                <c:pt idx="30">
                  <c:v>7.6702880859374992E-3</c:v>
                </c:pt>
                <c:pt idx="31">
                  <c:v>7.5261915540322053E-3</c:v>
                </c:pt>
                <c:pt idx="32">
                  <c:v>7.3934517348832329E-3</c:v>
                </c:pt>
                <c:pt idx="33">
                  <c:v>7.2709058292984748E-3</c:v>
                </c:pt>
                <c:pt idx="34">
                  <c:v>7.1575361381138753E-3</c:v>
                </c:pt>
                <c:pt idx="35">
                  <c:v>7.0524488647025711E-3</c:v>
                </c:pt>
                <c:pt idx="36">
                  <c:v>6.954856444279219E-3</c:v>
                </c:pt>
                <c:pt idx="37">
                  <c:v>6.8640627449911042E-3</c:v>
                </c:pt>
                <c:pt idx="38">
                  <c:v>6.7794506195335271E-3</c:v>
                </c:pt>
                <c:pt idx="39">
                  <c:v>6.7004713901032947E-3</c:v>
                </c:pt>
                <c:pt idx="40">
                  <c:v>6.6266359309934564E-3</c:v>
                </c:pt>
                <c:pt idx="41">
                  <c:v>6.557507077312159E-3</c:v>
                </c:pt>
                <c:pt idx="42">
                  <c:v>6.4926931391387898E-3</c:v>
                </c:pt>
                <c:pt idx="43">
                  <c:v>6.4318423409034974E-3</c:v>
                </c:pt>
                <c:pt idx="44">
                  <c:v>6.3746380381668639E-3</c:v>
                </c:pt>
                <c:pt idx="45">
                  <c:v>6.3207945900253595E-3</c:v>
                </c:pt>
                <c:pt idx="46">
                  <c:v>6.270053786414982E-3</c:v>
                </c:pt>
                <c:pt idx="47">
                  <c:v>6.222181746666727E-3</c:v>
                </c:pt>
                <c:pt idx="48">
                  <c:v>6.1769662195898826E-3</c:v>
                </c:pt>
                <c:pt idx="49">
                  <c:v>6.1342142267536634E-3</c:v>
                </c:pt>
                <c:pt idx="50">
                  <c:v>6.0937500000000002E-3</c:v>
                </c:pt>
              </c:numCache>
            </c:numRef>
          </c:yVal>
          <c:smooth val="1"/>
        </c:ser>
        <c:ser>
          <c:idx val="1"/>
          <c:order val="1"/>
          <c:tx>
            <c:v>MOSFET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'Fly-Buck_Calc'!$CK$4:$CK$54</c:f>
              <c:numCache>
                <c:formatCode>General</c:formatCode>
                <c:ptCount val="51"/>
                <c:pt idx="0">
                  <c:v>0.59637499999999988</c:v>
                </c:pt>
                <c:pt idx="1">
                  <c:v>0.47758731973570812</c:v>
                </c:pt>
                <c:pt idx="2">
                  <c:v>0.40605540224913483</c:v>
                </c:pt>
                <c:pt idx="3">
                  <c:v>0.36104299544611229</c:v>
                </c:pt>
                <c:pt idx="4">
                  <c:v>0.33205556246619794</c:v>
                </c:pt>
                <c:pt idx="5">
                  <c:v>0.31331939058171743</c:v>
                </c:pt>
                <c:pt idx="6">
                  <c:v>0.30144488350591714</c:v>
                </c:pt>
                <c:pt idx="7">
                  <c:v>0.29433583522593776</c:v>
                </c:pt>
                <c:pt idx="8">
                  <c:v>0.29063941279226013</c:v>
                </c:pt>
                <c:pt idx="9">
                  <c:v>0.28945086766505446</c:v>
                </c:pt>
                <c:pt idx="10">
                  <c:v>0.290146556122449</c:v>
                </c:pt>
                <c:pt idx="11">
                  <c:v>0.29228529165352912</c:v>
                </c:pt>
                <c:pt idx="12">
                  <c:v>0.2955478440954975</c:v>
                </c:pt>
                <c:pt idx="13">
                  <c:v>0.29969861307325474</c:v>
                </c:pt>
                <c:pt idx="14">
                  <c:v>0.30456065147210742</c:v>
                </c:pt>
                <c:pt idx="15">
                  <c:v>0.30999897735573412</c:v>
                </c:pt>
                <c:pt idx="16">
                  <c:v>0.31590917366351368</c:v>
                </c:pt>
                <c:pt idx="17">
                  <c:v>0.32220944405348351</c:v>
                </c:pt>
                <c:pt idx="18">
                  <c:v>0.32883497730509081</c:v>
                </c:pt>
                <c:pt idx="19">
                  <c:v>0.33573388423660455</c:v>
                </c:pt>
                <c:pt idx="20">
                  <c:v>0.34286422495274105</c:v>
                </c:pt>
                <c:pt idx="21">
                  <c:v>0.35019180441518882</c:v>
                </c:pt>
                <c:pt idx="22">
                  <c:v>0.35768851749479713</c:v>
                </c:pt>
                <c:pt idx="23">
                  <c:v>0.36533109237081562</c:v>
                </c:pt>
                <c:pt idx="24">
                  <c:v>0.3731001263497089</c:v>
                </c:pt>
                <c:pt idx="25">
                  <c:v>0.38097933884297519</c:v>
                </c:pt>
                <c:pt idx="26">
                  <c:v>0.38895498735369971</c:v>
                </c:pt>
                <c:pt idx="27">
                  <c:v>0.39701540705191685</c:v>
                </c:pt>
                <c:pt idx="28">
                  <c:v>0.40515064492785402</c:v>
                </c:pt>
                <c:pt idx="29">
                  <c:v>0.413352166954436</c:v>
                </c:pt>
                <c:pt idx="30">
                  <c:v>0.42161262207031258</c:v>
                </c:pt>
                <c:pt idx="31">
                  <c:v>0.42992565072384781</c:v>
                </c:pt>
                <c:pt idx="32">
                  <c:v>0.43828572861594484</c:v>
                </c:pt>
                <c:pt idx="33">
                  <c:v>0.44668803843566507</c:v>
                </c:pt>
                <c:pt idx="34">
                  <c:v>0.45512836400075751</c:v>
                </c:pt>
                <c:pt idx="35">
                  <c:v>0.46360300243948216</c:v>
                </c:pt>
                <c:pt idx="36">
                  <c:v>0.47210869098344255</c:v>
                </c:pt>
                <c:pt idx="37">
                  <c:v>0.48064254565782027</c:v>
                </c:pt>
                <c:pt idx="38">
                  <c:v>0.48920200970949612</c:v>
                </c:pt>
                <c:pt idx="39">
                  <c:v>0.49778481004471375</c:v>
                </c:pt>
                <c:pt idx="40">
                  <c:v>0.50638892028554439</c:v>
                </c:pt>
                <c:pt idx="41">
                  <c:v>0.51501252932029329</c:v>
                </c:pt>
                <c:pt idx="42">
                  <c:v>0.52365401443357495</c:v>
                </c:pt>
                <c:pt idx="43">
                  <c:v>0.53231191826945734</c:v>
                </c:pt>
                <c:pt idx="44">
                  <c:v>0.54098492901526274</c:v>
                </c:pt>
                <c:pt idx="45">
                  <c:v>0.54967186330153361</c:v>
                </c:pt>
                <c:pt idx="46">
                  <c:v>0.55837165140086209</c:v>
                </c:pt>
                <c:pt idx="47">
                  <c:v>0.56708332437904785</c:v>
                </c:pt>
                <c:pt idx="48">
                  <c:v>0.5758060029097295</c:v>
                </c:pt>
                <c:pt idx="49">
                  <c:v>0.5845388875108366</c:v>
                </c:pt>
                <c:pt idx="50">
                  <c:v>0.59328124999999998</c:v>
                </c:pt>
              </c:numCache>
            </c:numRef>
          </c:yVal>
          <c:smooth val="1"/>
        </c:ser>
        <c:ser>
          <c:idx val="2"/>
          <c:order val="2"/>
          <c:tx>
            <c:v>Diode</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'Fly-BB_Calc'!$CR$4:$CR$54</c:f>
              <c:numCache>
                <c:formatCode>General</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dLbls>
          <c:showLegendKey val="0"/>
          <c:showVal val="0"/>
          <c:showCatName val="0"/>
          <c:showSerName val="0"/>
          <c:showPercent val="0"/>
          <c:showBubbleSize val="0"/>
        </c:dLbls>
        <c:axId val="126722432"/>
        <c:axId val="126724352"/>
      </c:scatterChart>
      <c:valAx>
        <c:axId val="126722432"/>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26724352"/>
        <c:crosses val="autoZero"/>
        <c:crossBetween val="midCat"/>
      </c:valAx>
      <c:valAx>
        <c:axId val="126724352"/>
        <c:scaling>
          <c:orientation val="minMax"/>
        </c:scaling>
        <c:delete val="0"/>
        <c:axPos val="l"/>
        <c:majorGridlines/>
        <c:title>
          <c:tx>
            <c:rich>
              <a:bodyPr rot="-5400000" vert="horz"/>
              <a:lstStyle/>
              <a:p>
                <a:pPr>
                  <a:defRPr/>
                </a:pPr>
                <a:r>
                  <a:rPr lang="en-US"/>
                  <a:t>Losses</a:t>
                </a:r>
                <a:r>
                  <a:rPr lang="en-US" baseline="0"/>
                  <a:t> (W)</a:t>
                </a:r>
                <a:endParaRPr lang="en-US"/>
              </a:p>
            </c:rich>
          </c:tx>
          <c:layout/>
          <c:overlay val="0"/>
        </c:title>
        <c:numFmt formatCode="##0.0E+0" sourceLinked="0"/>
        <c:majorTickMark val="out"/>
        <c:minorTickMark val="none"/>
        <c:tickLblPos val="nextTo"/>
        <c:crossAx val="126722432"/>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layout/>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(Designs!$B$22,Designs!$B$32,Designs!$B$37,Designs!$B$42,Designs!$B$47,Designs!$B$52,Designs!$B$57)</c:f>
              <c:numCache>
                <c:formatCode>General</c:formatCode>
                <c:ptCount val="7"/>
                <c:pt idx="0">
                  <c:v>-15</c:v>
                </c:pt>
                <c:pt idx="1">
                  <c:v>15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26818944"/>
        <c:axId val="126828928"/>
      </c:barChart>
      <c:catAx>
        <c:axId val="126818944"/>
        <c:scaling>
          <c:orientation val="minMax"/>
        </c:scaling>
        <c:delete val="0"/>
        <c:axPos val="b"/>
        <c:majorGridlines/>
        <c:majorTickMark val="out"/>
        <c:minorTickMark val="none"/>
        <c:tickLblPos val="nextTo"/>
        <c:crossAx val="126828928"/>
        <c:crosses val="autoZero"/>
        <c:auto val="1"/>
        <c:lblAlgn val="ctr"/>
        <c:lblOffset val="100"/>
        <c:noMultiLvlLbl val="0"/>
      </c:catAx>
      <c:valAx>
        <c:axId val="126828928"/>
        <c:scaling>
          <c:orientation val="minMax"/>
        </c:scaling>
        <c:delete val="0"/>
        <c:axPos val="l"/>
        <c:majorGridlines/>
        <c:title>
          <c:tx>
            <c:rich>
              <a:bodyPr rot="-5400000" vert="horz"/>
              <a:lstStyle/>
              <a:p>
                <a:pPr>
                  <a:defRPr/>
                </a:pPr>
                <a:r>
                  <a:rPr lang="en-US"/>
                  <a:t>Output</a:t>
                </a:r>
                <a:r>
                  <a:rPr lang="en-US" baseline="0"/>
                  <a:t> Voltages (V)</a:t>
                </a:r>
                <a:endParaRPr lang="en-US"/>
              </a:p>
            </c:rich>
          </c:tx>
          <c:layout/>
          <c:overlay val="0"/>
        </c:title>
        <c:numFmt formatCode="General" sourceLinked="1"/>
        <c:majorTickMark val="out"/>
        <c:minorTickMark val="none"/>
        <c:tickLblPos val="nextTo"/>
        <c:crossAx val="126818944"/>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2"/>
          <c:order val="0"/>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'Fly-BB_Calc'!$M$4:$M$54</c:f>
              <c:numCache>
                <c:formatCode>General</c:formatCode>
                <c:ptCount val="51"/>
                <c:pt idx="0">
                  <c:v>1.25</c:v>
                </c:pt>
                <c:pt idx="1">
                  <c:v>1.0593220338983051</c:v>
                </c:pt>
                <c:pt idx="2">
                  <c:v>0.91911764705882348</c:v>
                </c:pt>
                <c:pt idx="3">
                  <c:v>0.81168831168831168</c:v>
                </c:pt>
                <c:pt idx="4">
                  <c:v>0.72674418604651159</c:v>
                </c:pt>
                <c:pt idx="5">
                  <c:v>0.6578947368421052</c:v>
                </c:pt>
                <c:pt idx="6">
                  <c:v>0.60096153846153844</c:v>
                </c:pt>
                <c:pt idx="7">
                  <c:v>0.55309734513274333</c:v>
                </c:pt>
                <c:pt idx="8">
                  <c:v>0.51229508196721307</c:v>
                </c:pt>
                <c:pt idx="9">
                  <c:v>0.47709923664122134</c:v>
                </c:pt>
                <c:pt idx="10">
                  <c:v>0.4464285714285714</c:v>
                </c:pt>
                <c:pt idx="11">
                  <c:v>0.4194630872483221</c:v>
                </c:pt>
                <c:pt idx="12">
                  <c:v>0.39556962025316456</c:v>
                </c:pt>
                <c:pt idx="13">
                  <c:v>0.37425149700598803</c:v>
                </c:pt>
                <c:pt idx="14">
                  <c:v>0.35511363636363635</c:v>
                </c:pt>
                <c:pt idx="15">
                  <c:v>0.33783783783783777</c:v>
                </c:pt>
                <c:pt idx="16">
                  <c:v>0.32216494845360821</c:v>
                </c:pt>
                <c:pt idx="17">
                  <c:v>0.30788177339901479</c:v>
                </c:pt>
                <c:pt idx="18">
                  <c:v>0.29481132075471694</c:v>
                </c:pt>
                <c:pt idx="19">
                  <c:v>0.28280542986425333</c:v>
                </c:pt>
                <c:pt idx="20">
                  <c:v>0.27173913043478259</c:v>
                </c:pt>
                <c:pt idx="21">
                  <c:v>0.2615062761506276</c:v>
                </c:pt>
                <c:pt idx="22">
                  <c:v>0.25201612903225806</c:v>
                </c:pt>
                <c:pt idx="23">
                  <c:v>0.24319066147859919</c:v>
                </c:pt>
                <c:pt idx="24">
                  <c:v>0.23496240601503759</c:v>
                </c:pt>
                <c:pt idx="25">
                  <c:v>0.22727272727272727</c:v>
                </c:pt>
                <c:pt idx="26">
                  <c:v>0.22007042253521128</c:v>
                </c:pt>
                <c:pt idx="27">
                  <c:v>0.21331058020477814</c:v>
                </c:pt>
                <c:pt idx="28">
                  <c:v>0.20695364238410596</c:v>
                </c:pt>
                <c:pt idx="29">
                  <c:v>0.20096463022508038</c:v>
                </c:pt>
                <c:pt idx="30">
                  <c:v>0.19531249999999997</c:v>
                </c:pt>
                <c:pt idx="31">
                  <c:v>0.18996960486322187</c:v>
                </c:pt>
                <c:pt idx="32">
                  <c:v>0.1849112426035503</c:v>
                </c:pt>
                <c:pt idx="33">
                  <c:v>0.18011527377521613</c:v>
                </c:pt>
                <c:pt idx="34">
                  <c:v>0.175561797752809</c:v>
                </c:pt>
                <c:pt idx="35">
                  <c:v>0.17123287671232876</c:v>
                </c:pt>
                <c:pt idx="36">
                  <c:v>0.16711229946524064</c:v>
                </c:pt>
                <c:pt idx="37">
                  <c:v>0.16318537859007834</c:v>
                </c:pt>
                <c:pt idx="38">
                  <c:v>0.15943877551020405</c:v>
                </c:pt>
                <c:pt idx="39">
                  <c:v>0.15586034912718202</c:v>
                </c:pt>
                <c:pt idx="40">
                  <c:v>0.1524390243902439</c:v>
                </c:pt>
                <c:pt idx="41">
                  <c:v>0.14916467780429593</c:v>
                </c:pt>
                <c:pt idx="42">
                  <c:v>0.14602803738317757</c:v>
                </c:pt>
                <c:pt idx="43">
                  <c:v>0.14302059496567504</c:v>
                </c:pt>
                <c:pt idx="44">
                  <c:v>0.14013452914798205</c:v>
                </c:pt>
                <c:pt idx="45">
                  <c:v>0.13736263736263735</c:v>
                </c:pt>
                <c:pt idx="46">
                  <c:v>0.13469827586206895</c:v>
                </c:pt>
                <c:pt idx="47">
                  <c:v>0.1321353065539112</c:v>
                </c:pt>
                <c:pt idx="48">
                  <c:v>0.1296680497925311</c:v>
                </c:pt>
                <c:pt idx="49">
                  <c:v>0.12729124236252545</c:v>
                </c:pt>
                <c:pt idx="50">
                  <c:v>0.125</c:v>
                </c:pt>
              </c:numCache>
            </c:numRef>
          </c:yVal>
          <c:smooth val="1"/>
        </c:ser>
        <c:dLbls>
          <c:showLegendKey val="0"/>
          <c:showVal val="0"/>
          <c:showCatName val="0"/>
          <c:showSerName val="0"/>
          <c:showPercent val="0"/>
          <c:showBubbleSize val="0"/>
        </c:dLbls>
        <c:axId val="126849408"/>
        <c:axId val="126851328"/>
      </c:scatterChart>
      <c:valAx>
        <c:axId val="126849408"/>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26851328"/>
        <c:crosses val="autoZero"/>
        <c:crossBetween val="midCat"/>
      </c:valAx>
      <c:valAx>
        <c:axId val="126851328"/>
        <c:scaling>
          <c:orientation val="minMax"/>
        </c:scaling>
        <c:delete val="0"/>
        <c:axPos val="l"/>
        <c:majorGridlines/>
        <c:title>
          <c:tx>
            <c:rich>
              <a:bodyPr rot="-5400000" vert="horz"/>
              <a:lstStyle/>
              <a:p>
                <a:pPr>
                  <a:defRPr/>
                </a:pPr>
                <a:r>
                  <a:rPr lang="en-US"/>
                  <a:t>Input</a:t>
                </a:r>
                <a:r>
                  <a:rPr lang="en-US" baseline="0"/>
                  <a:t> Current (A)</a:t>
                </a:r>
                <a:endParaRPr lang="en-US"/>
              </a:p>
            </c:rich>
          </c:tx>
          <c:layout/>
          <c:overlay val="0"/>
        </c:title>
        <c:numFmt formatCode="##0.0E+0" sourceLinked="0"/>
        <c:majorTickMark val="out"/>
        <c:minorTickMark val="none"/>
        <c:tickLblPos val="nextTo"/>
        <c:crossAx val="126849408"/>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Flyback_CCM_Calc!$CW$4:$CW$54</c:f>
              <c:numCache>
                <c:formatCode>General</c:formatCode>
                <c:ptCount val="51"/>
                <c:pt idx="0">
                  <c:v>46</c:v>
                </c:pt>
                <c:pt idx="1">
                  <c:v>47.08</c:v>
                </c:pt>
                <c:pt idx="2">
                  <c:v>48.16</c:v>
                </c:pt>
                <c:pt idx="3">
                  <c:v>49.24</c:v>
                </c:pt>
                <c:pt idx="4">
                  <c:v>50.32</c:v>
                </c:pt>
                <c:pt idx="5">
                  <c:v>51.4</c:v>
                </c:pt>
                <c:pt idx="6">
                  <c:v>52.480000000000004</c:v>
                </c:pt>
                <c:pt idx="7">
                  <c:v>53.56</c:v>
                </c:pt>
                <c:pt idx="8">
                  <c:v>54.64</c:v>
                </c:pt>
                <c:pt idx="9">
                  <c:v>55.72</c:v>
                </c:pt>
                <c:pt idx="10">
                  <c:v>56.8</c:v>
                </c:pt>
                <c:pt idx="11">
                  <c:v>57.88</c:v>
                </c:pt>
                <c:pt idx="12">
                  <c:v>58.96</c:v>
                </c:pt>
                <c:pt idx="13">
                  <c:v>60.04</c:v>
                </c:pt>
                <c:pt idx="14">
                  <c:v>61.120000000000005</c:v>
                </c:pt>
                <c:pt idx="15">
                  <c:v>62.2</c:v>
                </c:pt>
                <c:pt idx="16">
                  <c:v>63.28</c:v>
                </c:pt>
                <c:pt idx="17">
                  <c:v>64.36</c:v>
                </c:pt>
                <c:pt idx="18">
                  <c:v>65.44</c:v>
                </c:pt>
                <c:pt idx="19">
                  <c:v>66.52000000000001</c:v>
                </c:pt>
                <c:pt idx="20">
                  <c:v>67.599999999999994</c:v>
                </c:pt>
                <c:pt idx="21">
                  <c:v>68.680000000000007</c:v>
                </c:pt>
                <c:pt idx="22">
                  <c:v>69.760000000000005</c:v>
                </c:pt>
                <c:pt idx="23">
                  <c:v>70.84</c:v>
                </c:pt>
                <c:pt idx="24">
                  <c:v>71.92</c:v>
                </c:pt>
                <c:pt idx="25">
                  <c:v>73</c:v>
                </c:pt>
                <c:pt idx="26">
                  <c:v>74.08</c:v>
                </c:pt>
                <c:pt idx="27">
                  <c:v>75.16</c:v>
                </c:pt>
                <c:pt idx="28">
                  <c:v>76.240000000000009</c:v>
                </c:pt>
                <c:pt idx="29">
                  <c:v>77.319999999999993</c:v>
                </c:pt>
                <c:pt idx="30">
                  <c:v>78.400000000000006</c:v>
                </c:pt>
                <c:pt idx="31">
                  <c:v>79.48</c:v>
                </c:pt>
                <c:pt idx="32">
                  <c:v>80.56</c:v>
                </c:pt>
                <c:pt idx="33">
                  <c:v>81.64</c:v>
                </c:pt>
                <c:pt idx="34">
                  <c:v>82.72</c:v>
                </c:pt>
                <c:pt idx="35">
                  <c:v>83.800000000000011</c:v>
                </c:pt>
                <c:pt idx="36">
                  <c:v>84.88</c:v>
                </c:pt>
                <c:pt idx="37">
                  <c:v>85.960000000000008</c:v>
                </c:pt>
                <c:pt idx="38">
                  <c:v>87.04</c:v>
                </c:pt>
                <c:pt idx="39">
                  <c:v>88.12</c:v>
                </c:pt>
                <c:pt idx="40">
                  <c:v>89.2</c:v>
                </c:pt>
                <c:pt idx="41">
                  <c:v>90.28</c:v>
                </c:pt>
                <c:pt idx="42">
                  <c:v>91.36</c:v>
                </c:pt>
                <c:pt idx="43">
                  <c:v>92.44</c:v>
                </c:pt>
                <c:pt idx="44">
                  <c:v>93.52000000000001</c:v>
                </c:pt>
                <c:pt idx="45">
                  <c:v>94.6</c:v>
                </c:pt>
                <c:pt idx="46">
                  <c:v>95.68</c:v>
                </c:pt>
                <c:pt idx="47">
                  <c:v>96.76</c:v>
                </c:pt>
                <c:pt idx="48">
                  <c:v>97.84</c:v>
                </c:pt>
                <c:pt idx="49">
                  <c:v>98.92</c:v>
                </c:pt>
                <c:pt idx="50">
                  <c:v>100</c:v>
                </c:pt>
              </c:numCache>
            </c:numRef>
          </c:yVal>
          <c:smooth val="1"/>
        </c:ser>
        <c:ser>
          <c:idx val="0"/>
          <c:order val="1"/>
          <c:tx>
            <c:v>Buck Derived</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'Fly-Buck_Calc'!$CV$4:$CV$54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yVal>
          <c:smooth val="1"/>
        </c:ser>
        <c:dLbls>
          <c:showLegendKey val="0"/>
          <c:showVal val="0"/>
          <c:showCatName val="0"/>
          <c:showSerName val="0"/>
          <c:showPercent val="0"/>
          <c:showBubbleSize val="0"/>
        </c:dLbls>
        <c:axId val="127253888"/>
        <c:axId val="127497728"/>
      </c:scatterChart>
      <c:valAx>
        <c:axId val="12725388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7497728"/>
        <c:crosses val="autoZero"/>
        <c:crossBetween val="midCat"/>
      </c:valAx>
      <c:valAx>
        <c:axId val="127497728"/>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27253888"/>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'Fly-Buck_Calc'!$CV$4:$CV$54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yVal>
          <c:smooth val="1"/>
        </c:ser>
        <c:ser>
          <c:idx val="1"/>
          <c:order val="1"/>
          <c:tx>
            <c:v>Flyback 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Flyback_CCM_Calc!$CX$4:$CX$54</c:f>
              <c:numCache>
                <c:formatCode>General</c:formatCode>
                <c:ptCount val="51"/>
                <c:pt idx="0">
                  <c:v>93.064517061404956</c:v>
                </c:pt>
                <c:pt idx="1">
                  <c:v>88.379035542924242</c:v>
                </c:pt>
                <c:pt idx="2">
                  <c:v>85.278009104280301</c:v>
                </c:pt>
                <c:pt idx="3">
                  <c:v>83.202516095702691</c:v>
                </c:pt>
                <c:pt idx="4">
                  <c:v>81.82785429357115</c:v>
                </c:pt>
                <c:pt idx="5">
                  <c:v>80.95257123620614</c:v>
                </c:pt>
                <c:pt idx="6">
                  <c:v>80.445116047898381</c:v>
                </c:pt>
                <c:pt idx="7">
                  <c:v>80.215987160793986</c:v>
                </c:pt>
                <c:pt idx="8">
                  <c:v>80.202209757550946</c:v>
                </c:pt>
                <c:pt idx="9">
                  <c:v>80.358213167208149</c:v>
                </c:pt>
                <c:pt idx="10">
                  <c:v>80.65022807053289</c:v>
                </c:pt>
                <c:pt idx="11">
                  <c:v>81.052715141218215</c:v>
                </c:pt>
                <c:pt idx="12">
                  <c:v>81.546015013514591</c:v>
                </c:pt>
                <c:pt idx="13">
                  <c:v>82.114758749920924</c:v>
                </c:pt>
                <c:pt idx="14">
                  <c:v>82.746766513888716</c:v>
                </c:pt>
                <c:pt idx="15">
                  <c:v>83.432268135991464</c:v>
                </c:pt>
                <c:pt idx="16">
                  <c:v>84.163340993335794</c:v>
                </c:pt>
                <c:pt idx="17">
                  <c:v>84.933497720542249</c:v>
                </c:pt>
                <c:pt idx="18">
                  <c:v>85.737379193877132</c:v>
                </c:pt>
                <c:pt idx="19">
                  <c:v>86.570522750949706</c:v>
                </c:pt>
                <c:pt idx="20">
                  <c:v>87.429185014807786</c:v>
                </c:pt>
                <c:pt idx="21">
                  <c:v>88.310204909284522</c:v>
                </c:pt>
                <c:pt idx="22">
                  <c:v>89.210896639213644</c:v>
                </c:pt>
                <c:pt idx="23">
                  <c:v>90.128965276031721</c:v>
                </c:pt>
                <c:pt idx="24">
                  <c:v>91.062439582932825</c:v>
                </c:pt>
                <c:pt idx="25">
                  <c:v>92.009618119965722</c:v>
                </c:pt>
                <c:pt idx="26">
                  <c:v>92.969025674445618</c:v>
                </c:pt>
                <c:pt idx="27">
                  <c:v>93.939377789067152</c:v>
                </c:pt>
                <c:pt idx="28">
                  <c:v>94.919551692006721</c:v>
                </c:pt>
                <c:pt idx="29">
                  <c:v>95.908562326572294</c:v>
                </c:pt>
                <c:pt idx="30">
                  <c:v>96.905542471599773</c:v>
                </c:pt>
                <c:pt idx="31">
                  <c:v>97.909726165070481</c:v>
                </c:pt>
                <c:pt idx="32">
                  <c:v>98.920434811615593</c:v>
                </c:pt>
                <c:pt idx="33">
                  <c:v>99.937065483451676</c:v>
                </c:pt>
                <c:pt idx="34">
                  <c:v>100.95908102380633</c:v>
                </c:pt>
                <c:pt idx="35">
                  <c:v>101.98600163928617</c:v>
                </c:pt>
                <c:pt idx="36">
                  <c:v>103.01739772824101</c:v>
                </c:pt>
                <c:pt idx="37">
                  <c:v>104.05288373993776</c:v>
                </c:pt>
                <c:pt idx="38">
                  <c:v>105.09211289722337</c:v>
                </c:pt>
                <c:pt idx="39">
                  <c:v>106.13477264555848</c:v>
                </c:pt>
                <c:pt idx="40">
                  <c:v>107.18058071551714</c:v>
                </c:pt>
                <c:pt idx="41">
                  <c:v>108.22928170537082</c:v>
                </c:pt>
                <c:pt idx="42">
                  <c:v>109.28064410618835</c:v>
                </c:pt>
                <c:pt idx="43">
                  <c:v>110.33445770475522</c:v>
                </c:pt>
                <c:pt idx="44">
                  <c:v>111.39053131014138</c:v>
                </c:pt>
                <c:pt idx="45">
                  <c:v>112.44869075838965</c:v>
                </c:pt>
                <c:pt idx="46">
                  <c:v>113.50877715692461</c:v>
                </c:pt>
                <c:pt idx="47">
                  <c:v>114.57064533618193</c:v>
                </c:pt>
                <c:pt idx="48">
                  <c:v>115.63416248086281</c:v>
                </c:pt>
                <c:pt idx="49">
                  <c:v>116.69920691730748</c:v>
                </c:pt>
                <c:pt idx="50">
                  <c:v>117.76566703690534</c:v>
                </c:pt>
              </c:numCache>
            </c:numRef>
          </c:yVal>
          <c:smooth val="1"/>
        </c:ser>
        <c:dLbls>
          <c:showLegendKey val="0"/>
          <c:showVal val="0"/>
          <c:showCatName val="0"/>
          <c:showSerName val="0"/>
          <c:showPercent val="0"/>
          <c:showBubbleSize val="0"/>
        </c:dLbls>
        <c:axId val="127523456"/>
        <c:axId val="127529728"/>
      </c:scatterChart>
      <c:valAx>
        <c:axId val="12752345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27529728"/>
        <c:crosses val="autoZero"/>
        <c:crossBetween val="midCat"/>
      </c:valAx>
      <c:valAx>
        <c:axId val="127529728"/>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27523456"/>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0"/>
          <c:order val="0"/>
          <c:tx>
            <c:v>Flyback 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Flyback_CCM_Calc!$CS$4:$CS$54</c:f>
              <c:numCache>
                <c:formatCode>##0.0E+0</c:formatCode>
                <c:ptCount val="51"/>
                <c:pt idx="0">
                  <c:v>0.20446788611291794</c:v>
                </c:pt>
                <c:pt idx="1">
                  <c:v>0.15640837892041629</c:v>
                </c:pt>
                <c:pt idx="2">
                  <c:v>0.12549074489740558</c:v>
                </c:pt>
                <c:pt idx="3">
                  <c:v>0.10433273204551977</c:v>
                </c:pt>
                <c:pt idx="4">
                  <c:v>8.9155820478725056E-2</c:v>
                </c:pt>
                <c:pt idx="5">
                  <c:v>7.7857867769152406E-2</c:v>
                </c:pt>
                <c:pt idx="6">
                  <c:v>6.9191014047978519E-2</c:v>
                </c:pt>
                <c:pt idx="7">
                  <c:v>6.23750064468888E-2</c:v>
                </c:pt>
                <c:pt idx="8">
                  <c:v>5.6900736347417422E-2</c:v>
                </c:pt>
                <c:pt idx="9">
                  <c:v>5.2423974166404839E-2</c:v>
                </c:pt>
                <c:pt idx="10">
                  <c:v>4.8704832237673294E-2</c:v>
                </c:pt>
                <c:pt idx="11">
                  <c:v>4.5571737036598267E-2</c:v>
                </c:pt>
                <c:pt idx="12">
                  <c:v>4.289917108967542E-2</c:v>
                </c:pt>
                <c:pt idx="13">
                  <c:v>4.0593469699431679E-2</c:v>
                </c:pt>
                <c:pt idx="14">
                  <c:v>3.8583497556624248E-2</c:v>
                </c:pt>
                <c:pt idx="15">
                  <c:v>3.6814373999137097E-2</c:v>
                </c:pt>
                <c:pt idx="16">
                  <c:v>3.5243155313144925E-2</c:v>
                </c:pt>
                <c:pt idx="17">
                  <c:v>3.3835804095022133E-2</c:v>
                </c:pt>
                <c:pt idx="18">
                  <c:v>3.2565023612866624E-2</c:v>
                </c:pt>
                <c:pt idx="19">
                  <c:v>3.1408684990275298E-2</c:v>
                </c:pt>
                <c:pt idx="20">
                  <c:v>3.0348667940720865E-2</c:v>
                </c:pt>
                <c:pt idx="21">
                  <c:v>2.9369994684573599E-2</c:v>
                </c:pt>
                <c:pt idx="22">
                  <c:v>2.8460174801828653E-2</c:v>
                </c:pt>
                <c:pt idx="23">
                  <c:v>2.760870391183461E-2</c:v>
                </c:pt>
                <c:pt idx="24">
                  <c:v>2.6806675935960117E-2</c:v>
                </c:pt>
                <c:pt idx="25">
                  <c:v>2.6046480193785131E-2</c:v>
                </c:pt>
                <c:pt idx="26">
                  <c:v>2.532156253332607E-2</c:v>
                </c:pt>
                <c:pt idx="27">
                  <c:v>2.4626235269043343E-2</c:v>
                </c:pt>
                <c:pt idx="28">
                  <c:v>2.3955524657839934E-2</c:v>
                </c:pt>
                <c:pt idx="29">
                  <c:v>2.3305047484950013E-2</c:v>
                </c:pt>
                <c:pt idx="30">
                  <c:v>2.2670910394932773E-2</c:v>
                </c:pt>
                <c:pt idx="31">
                  <c:v>2.2049627116366904E-2</c:v>
                </c:pt>
                <c:pt idx="32">
                  <c:v>2.1438049849345057E-2</c:v>
                </c:pt>
                <c:pt idx="33">
                  <c:v>2.0833311921745572E-2</c:v>
                </c:pt>
                <c:pt idx="34">
                  <c:v>2.0232779450333586E-2</c:v>
                </c:pt>
                <c:pt idx="35">
                  <c:v>1.9634010220585901E-2</c:v>
                </c:pt>
                <c:pt idx="36">
                  <c:v>1.90347183638798E-2</c:v>
                </c:pt>
                <c:pt idx="37">
                  <c:v>1.8432743690646701E-2</c:v>
                </c:pt>
                <c:pt idx="38">
                  <c:v>1.7826024753912227E-2</c:v>
                </c:pt>
                <c:pt idx="39">
                  <c:v>1.7212574884491835E-2</c:v>
                </c:pt>
                <c:pt idx="40">
                  <c:v>1.6590460568186628E-2</c:v>
                </c:pt>
                <c:pt idx="41">
                  <c:v>1.595778163495061E-2</c:v>
                </c:pt>
                <c:pt idx="42">
                  <c:v>1.5312652806363141E-2</c:v>
                </c:pt>
                <c:pt idx="43">
                  <c:v>1.4653186205446816E-2</c:v>
                </c:pt>
                <c:pt idx="44">
                  <c:v>1.3977474475323454E-2</c:v>
                </c:pt>
                <c:pt idx="45">
                  <c:v>1.3283574182883061E-2</c:v>
                </c:pt>
                <c:pt idx="46">
                  <c:v>1.2569489202308937E-2</c:v>
                </c:pt>
                <c:pt idx="47">
                  <c:v>1.1833153782126965E-2</c:v>
                </c:pt>
                <c:pt idx="48">
                  <c:v>1.1072414999101053E-2</c:v>
                </c:pt>
                <c:pt idx="49">
                  <c:v>1.0285014293015211E-2</c:v>
                </c:pt>
                <c:pt idx="50">
                  <c:v>9.4685677579855465E-3</c:v>
                </c:pt>
              </c:numCache>
            </c:numRef>
          </c:yVal>
          <c:smooth val="1"/>
        </c:ser>
        <c:dLbls>
          <c:showLegendKey val="0"/>
          <c:showVal val="0"/>
          <c:showCatName val="0"/>
          <c:showSerName val="0"/>
          <c:showPercent val="0"/>
          <c:showBubbleSize val="0"/>
        </c:dLbls>
        <c:axId val="126407808"/>
        <c:axId val="126409728"/>
      </c:scatterChart>
      <c:valAx>
        <c:axId val="12640780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6409728"/>
        <c:crosses val="autoZero"/>
        <c:crossBetween val="midCat"/>
      </c:valAx>
      <c:valAx>
        <c:axId val="126409728"/>
        <c:scaling>
          <c:orientation val="minMax"/>
        </c:scaling>
        <c:delete val="0"/>
        <c:axPos val="l"/>
        <c:majorGridlines/>
        <c:title>
          <c:tx>
            <c:rich>
              <a:bodyPr rot="-5400000" vert="horz"/>
              <a:lstStyle/>
              <a:p>
                <a:pPr>
                  <a:defRPr/>
                </a:pPr>
                <a:r>
                  <a:rPr lang="en-US"/>
                  <a:t>Clamp</a:t>
                </a:r>
                <a:r>
                  <a:rPr lang="en-US" baseline="0"/>
                  <a:t> Power (W)</a:t>
                </a:r>
                <a:endParaRPr lang="en-US"/>
              </a:p>
            </c:rich>
          </c:tx>
          <c:overlay val="0"/>
        </c:title>
        <c:numFmt formatCode="##0.0E+0" sourceLinked="1"/>
        <c:majorTickMark val="out"/>
        <c:minorTickMark val="none"/>
        <c:tickLblPos val="nextTo"/>
        <c:crossAx val="126407808"/>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Currents</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'Fly-Buck_Calc'!$V$4:$V$54</c:f>
              <c:numCache>
                <c:formatCode>General</c:formatCode>
                <c:ptCount val="51"/>
                <c:pt idx="0">
                  <c:v>0.97494657973313248</c:v>
                </c:pt>
                <c:pt idx="1">
                  <c:v>0.82649060255015816</c:v>
                </c:pt>
                <c:pt idx="2">
                  <c:v>0.73096172664378789</c:v>
                </c:pt>
                <c:pt idx="3">
                  <c:v>0.66509487431884806</c:v>
                </c:pt>
                <c:pt idx="4">
                  <c:v>0.61698481504814329</c:v>
                </c:pt>
                <c:pt idx="5">
                  <c:v>0.58012136486973587</c:v>
                </c:pt>
                <c:pt idx="6">
                  <c:v>0.55074200876519019</c:v>
                </c:pt>
                <c:pt idx="7">
                  <c:v>0.52656490560874281</c:v>
                </c:pt>
                <c:pt idx="8">
                  <c:v>0.50614562558278198</c:v>
                </c:pt>
                <c:pt idx="9">
                  <c:v>0.48853398791110486</c:v>
                </c:pt>
                <c:pt idx="10">
                  <c:v>0.47308290596976432</c:v>
                </c:pt>
                <c:pt idx="11">
                  <c:v>0.45933771431968279</c:v>
                </c:pt>
                <c:pt idx="12">
                  <c:v>0.44696981584018441</c:v>
                </c:pt>
                <c:pt idx="13">
                  <c:v>0.43573561586488846</c:v>
                </c:pt>
                <c:pt idx="14">
                  <c:v>0.42545035695004196</c:v>
                </c:pt>
                <c:pt idx="15">
                  <c:v>0.41597099711246299</c:v>
                </c:pt>
                <c:pt idx="16">
                  <c:v>0.40718472765747515</c:v>
                </c:pt>
                <c:pt idx="17">
                  <c:v>0.39900109695275515</c:v>
                </c:pt>
                <c:pt idx="18">
                  <c:v>0.39134649373564023</c:v>
                </c:pt>
                <c:pt idx="19">
                  <c:v>0.38416020777266846</c:v>
                </c:pt>
                <c:pt idx="20">
                  <c:v>0.37739156614142766</c:v>
                </c:pt>
                <c:pt idx="21">
                  <c:v>0.37099781667519927</c:v>
                </c:pt>
                <c:pt idx="22">
                  <c:v>0.36494253942139537</c:v>
                </c:pt>
                <c:pt idx="23">
                  <c:v>0.35919443728194966</c:v>
                </c:pt>
                <c:pt idx="24">
                  <c:v>0.35372640306882219</c:v>
                </c:pt>
                <c:pt idx="25">
                  <c:v>0.3485147909043293</c:v>
                </c:pt>
                <c:pt idx="26">
                  <c:v>0.34353884068147456</c:v>
                </c:pt>
                <c:pt idx="27">
                  <c:v>0.3387802185871906</c:v>
                </c:pt>
                <c:pt idx="28">
                  <c:v>0.33422264665273632</c:v>
                </c:pt>
                <c:pt idx="29">
                  <c:v>0.32985160133380392</c:v>
                </c:pt>
                <c:pt idx="30">
                  <c:v>0.32565406615896497</c:v>
                </c:pt>
                <c:pt idx="31">
                  <c:v>0.32161832713166594</c:v>
                </c:pt>
                <c:pt idx="32">
                  <c:v>0.317733802241353</c:v>
                </c:pt>
                <c:pt idx="33">
                  <c:v>0.31399089841576039</c:v>
                </c:pt>
                <c:pt idx="34">
                  <c:v>0.31038089072411801</c:v>
                </c:pt>
                <c:pt idx="35">
                  <c:v>0.30689581975650299</c:v>
                </c:pt>
                <c:pt idx="36">
                  <c:v>0.30352840395427244</c:v>
                </c:pt>
                <c:pt idx="37">
                  <c:v>0.30027196431940101</c:v>
                </c:pt>
                <c:pt idx="38">
                  <c:v>0.2971203594363277</c:v>
                </c:pt>
                <c:pt idx="39">
                  <c:v>0.29406792913480467</c:v>
                </c:pt>
                <c:pt idx="40">
                  <c:v>0.29110944543284456</c:v>
                </c:pt>
                <c:pt idx="41">
                  <c:v>0.2882400696448974</c:v>
                </c:pt>
                <c:pt idx="42">
                  <c:v>0.2854553147365938</c:v>
                </c:pt>
                <c:pt idx="43">
                  <c:v>0.28275101216485632</c:v>
                </c:pt>
                <c:pt idx="44">
                  <c:v>0.28012328256933328</c:v>
                </c:pt>
                <c:pt idx="45">
                  <c:v>0.27756850978437336</c:v>
                </c:pt>
                <c:pt idx="46">
                  <c:v>0.27508331772509764</c:v>
                </c:pt>
                <c:pt idx="47">
                  <c:v>0.27266454977036086</c:v>
                </c:pt>
                <c:pt idx="48">
                  <c:v>0.27030925032252423</c:v>
                </c:pt>
                <c:pt idx="49">
                  <c:v>0.26801464827132832</c:v>
                </c:pt>
                <c:pt idx="50">
                  <c:v>0.26577814212860568</c:v>
                </c:pt>
              </c:numCache>
            </c:numRef>
          </c:yVal>
          <c:smooth val="1"/>
        </c:ser>
        <c:ser>
          <c:idx val="1"/>
          <c:order val="1"/>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'Fly-BB_Calc'!$V$4:$V$54</c:f>
              <c:numCache>
                <c:formatCode>0.0000</c:formatCode>
                <c:ptCount val="51"/>
                <c:pt idx="0">
                  <c:v>1.4792024535198292</c:v>
                </c:pt>
                <c:pt idx="1">
                  <c:v>1.285484709753147</c:v>
                </c:pt>
                <c:pt idx="2">
                  <c:v>1.1424012066141054</c:v>
                </c:pt>
                <c:pt idx="3">
                  <c:v>1.0322376797291608</c:v>
                </c:pt>
                <c:pt idx="4">
                  <c:v>0.94469066434977456</c:v>
                </c:pt>
                <c:pt idx="5">
                  <c:v>0.87335779901197885</c:v>
                </c:pt>
                <c:pt idx="6">
                  <c:v>0.81405034792153608</c:v>
                </c:pt>
                <c:pt idx="7">
                  <c:v>0.76391203845155231</c:v>
                </c:pt>
                <c:pt idx="8">
                  <c:v>0.72092785571989615</c:v>
                </c:pt>
                <c:pt idx="9">
                  <c:v>0.68363527072827845</c:v>
                </c:pt>
                <c:pt idx="10">
                  <c:v>0.65094681650113451</c:v>
                </c:pt>
                <c:pt idx="11">
                  <c:v>0.62203693914046576</c:v>
                </c:pt>
                <c:pt idx="12">
                  <c:v>0.59626750025816311</c:v>
                </c:pt>
                <c:pt idx="13">
                  <c:v>0.57313735344583405</c:v>
                </c:pt>
                <c:pt idx="14">
                  <c:v>0.55224738011891128</c:v>
                </c:pt>
                <c:pt idx="15">
                  <c:v>0.5332757222379545</c:v>
                </c:pt>
                <c:pt idx="16">
                  <c:v>0.5159599020870459</c:v>
                </c:pt>
                <c:pt idx="17">
                  <c:v>0.5000836929107616</c:v>
                </c:pt>
                <c:pt idx="18">
                  <c:v>0.4854673294871365</c:v>
                </c:pt>
                <c:pt idx="19">
                  <c:v>0.47196010721313031</c:v>
                </c:pt>
                <c:pt idx="20">
                  <c:v>0.4594347159899107</c:v>
                </c:pt>
                <c:pt idx="21">
                  <c:v>0.44778285203423984</c:v>
                </c:pt>
                <c:pt idx="22">
                  <c:v>0.43691178331030084</c:v>
                </c:pt>
                <c:pt idx="23">
                  <c:v>0.42674163507652174</c:v>
                </c:pt>
                <c:pt idx="24">
                  <c:v>0.41720322520324687</c:v>
                </c:pt>
                <c:pt idx="25">
                  <c:v>0.40823632348263139</c:v>
                </c:pt>
                <c:pt idx="26">
                  <c:v>0.39978824101327021</c:v>
                </c:pt>
                <c:pt idx="27">
                  <c:v>0.39181267879988768</c:v>
                </c:pt>
                <c:pt idx="28">
                  <c:v>0.38426878158552236</c:v>
                </c:pt>
                <c:pt idx="29">
                  <c:v>0.37712035541791633</c:v>
                </c:pt>
                <c:pt idx="30">
                  <c:v>0.37033521677823472</c:v>
                </c:pt>
                <c:pt idx="31">
                  <c:v>0.36388464813222376</c:v>
                </c:pt>
                <c:pt idx="32">
                  <c:v>0.35774294011209107</c:v>
                </c:pt>
                <c:pt idx="33">
                  <c:v>0.35188700463824441</c:v>
                </c:pt>
                <c:pt idx="34">
                  <c:v>0.34629604645869333</c:v>
                </c:pt>
                <c:pt idx="35">
                  <c:v>0.34095128305009842</c:v>
                </c:pt>
                <c:pt idx="36">
                  <c:v>0.33583570475709812</c:v>
                </c:pt>
                <c:pt idx="37">
                  <c:v>0.33093386857090268</c:v>
                </c:pt>
                <c:pt idx="38">
                  <c:v>0.32623172015791496</c:v>
                </c:pt>
                <c:pt idx="39">
                  <c:v>0.32171643971483826</c:v>
                </c:pt>
                <c:pt idx="40">
                  <c:v>0.31737630800191213</c:v>
                </c:pt>
                <c:pt idx="41">
                  <c:v>0.31320058953145025</c:v>
                </c:pt>
                <c:pt idx="42">
                  <c:v>0.30917943039617951</c:v>
                </c:pt>
                <c:pt idx="43">
                  <c:v>0.30530376863531644</c:v>
                </c:pt>
                <c:pt idx="44">
                  <c:v>0.30156525537479834</c:v>
                </c:pt>
                <c:pt idx="45">
                  <c:v>0.29795618525640039</c:v>
                </c:pt>
                <c:pt idx="46">
                  <c:v>0.29446943490030314</c:v>
                </c:pt>
                <c:pt idx="47">
                  <c:v>0.29109840833621198</c:v>
                </c:pt>
                <c:pt idx="48">
                  <c:v>0.2878369884967148</c:v>
                </c:pt>
                <c:pt idx="49">
                  <c:v>0.28467949399904519</c:v>
                </c:pt>
                <c:pt idx="50">
                  <c:v>0.28162064055247293</c:v>
                </c:pt>
              </c:numCache>
            </c:numRef>
          </c:yVal>
          <c:smooth val="1"/>
        </c:ser>
        <c:ser>
          <c:idx val="2"/>
          <c:order val="2"/>
          <c:tx>
            <c:v>Flyback 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Flyback_CCM_Calc!$W$4:$W$54</c:f>
              <c:numCache>
                <c:formatCode>0.000</c:formatCode>
                <c:ptCount val="51"/>
                <c:pt idx="0">
                  <c:v>1.3390825797136774</c:v>
                </c:pt>
                <c:pt idx="1">
                  <c:v>1.1480476037887639</c:v>
                </c:pt>
                <c:pt idx="2">
                  <c:v>1.0075348184463357</c:v>
                </c:pt>
                <c:pt idx="3">
                  <c:v>0.89984395635040137</c:v>
                </c:pt>
                <c:pt idx="4">
                  <c:v>0.814682885087194</c:v>
                </c:pt>
                <c:pt idx="5">
                  <c:v>0.74565842934476623</c:v>
                </c:pt>
                <c:pt idx="6">
                  <c:v>0.68858931891739128</c:v>
                </c:pt>
                <c:pt idx="7">
                  <c:v>0.64062537093951566</c:v>
                </c:pt>
                <c:pt idx="8">
                  <c:v>0.59975656158630986</c:v>
                </c:pt>
                <c:pt idx="9">
                  <c:v>0.56452447604742073</c:v>
                </c:pt>
                <c:pt idx="10">
                  <c:v>0.53384506184618019</c:v>
                </c:pt>
                <c:pt idx="11">
                  <c:v>0.50689562125781218</c:v>
                </c:pt>
                <c:pt idx="12">
                  <c:v>0.48304042648210199</c:v>
                </c:pt>
                <c:pt idx="13">
                  <c:v>0.46178038601865612</c:v>
                </c:pt>
                <c:pt idx="14">
                  <c:v>0.44271815220845928</c:v>
                </c:pt>
                <c:pt idx="15">
                  <c:v>0.42553341113107013</c:v>
                </c:pt>
                <c:pt idx="16">
                  <c:v>0.40996504797050698</c:v>
                </c:pt>
                <c:pt idx="17">
                  <c:v>0.39579805398487972</c:v>
                </c:pt>
                <c:pt idx="18">
                  <c:v>0.3828537660149714</c:v>
                </c:pt>
                <c:pt idx="19">
                  <c:v>0.37098248858898303</c:v>
                </c:pt>
                <c:pt idx="20">
                  <c:v>0.36005784609254754</c:v>
                </c:pt>
                <c:pt idx="21">
                  <c:v>0.34997240907491078</c:v>
                </c:pt>
                <c:pt idx="22">
                  <c:v>0.34063427114176142</c:v>
                </c:pt>
                <c:pt idx="23">
                  <c:v>0.33196434353538867</c:v>
                </c:pt>
                <c:pt idx="24">
                  <c:v>0.32389419754446497</c:v>
                </c:pt>
                <c:pt idx="25">
                  <c:v>0.31636432935564773</c:v>
                </c:pt>
                <c:pt idx="26">
                  <c:v>0.30932275374373219</c:v>
                </c:pt>
                <c:pt idx="27">
                  <c:v>0.30272385599346502</c:v>
                </c:pt>
                <c:pt idx="28">
                  <c:v>0.29652744827384386</c:v>
                </c:pt>
                <c:pt idx="29">
                  <c:v>0.29069798913024991</c:v>
                </c:pt>
                <c:pt idx="30">
                  <c:v>0.28520393405412714</c:v>
                </c:pt>
                <c:pt idx="31">
                  <c:v>0.28001719209603826</c:v>
                </c:pt>
                <c:pt idx="32">
                  <c:v>0.2751126688152114</c:v>
                </c:pt>
                <c:pt idx="33">
                  <c:v>0.27046787994264715</c:v>
                </c:pt>
                <c:pt idx="34">
                  <c:v>0.26606262328986796</c:v>
                </c:pt>
                <c:pt idx="35">
                  <c:v>0.26187869889052345</c:v>
                </c:pt>
                <c:pt idx="36">
                  <c:v>0.25789966928577435</c:v>
                </c:pt>
                <c:pt idx="37">
                  <c:v>0.25411065338151595</c:v>
                </c:pt>
                <c:pt idx="38">
                  <c:v>0.25049814850944596</c:v>
                </c:pt>
                <c:pt idx="39">
                  <c:v>0.24704987628497541</c:v>
                </c:pt>
                <c:pt idx="40">
                  <c:v>0.24375464862637972</c:v>
                </c:pt>
                <c:pt idx="41">
                  <c:v>0.24060225092208218</c:v>
                </c:pt>
                <c:pt idx="42">
                  <c:v>0.23758333983784805</c:v>
                </c:pt>
                <c:pt idx="43">
                  <c:v>0.23468935366717208</c:v>
                </c:pt>
                <c:pt idx="44">
                  <c:v>0.23191243346506871</c:v>
                </c:pt>
                <c:pt idx="45">
                  <c:v>0.22924535348258393</c:v>
                </c:pt>
                <c:pt idx="46">
                  <c:v>0.22668145964821462</c:v>
                </c:pt>
                <c:pt idx="47">
                  <c:v>0.22421461503222187</c:v>
                </c:pt>
                <c:pt idx="48">
                  <c:v>0.22183915138783597</c:v>
                </c:pt>
                <c:pt idx="49">
                  <c:v>0.21954982599539855</c:v>
                </c:pt>
                <c:pt idx="50">
                  <c:v>0.21734178314622327</c:v>
                </c:pt>
              </c:numCache>
            </c:numRef>
          </c:yVal>
          <c:smooth val="1"/>
        </c:ser>
        <c:ser>
          <c:idx val="3"/>
          <c:order val="3"/>
          <c:tx>
            <c:v>Flyback 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Flyback_DCM_Calc!$S$4:$S$54</c:f>
              <c:numCache>
                <c:formatCode>0.000</c:formatCode>
                <c:ptCount val="51"/>
                <c:pt idx="0">
                  <c:v>0.95011023059082633</c:v>
                </c:pt>
                <c:pt idx="1">
                  <c:v>0.87464736248743769</c:v>
                </c:pt>
                <c:pt idx="2">
                  <c:v>0.8147128013787478</c:v>
                </c:pt>
                <c:pt idx="3">
                  <c:v>0.76562064216553727</c:v>
                </c:pt>
                <c:pt idx="4">
                  <c:v>0.72445225911741196</c:v>
                </c:pt>
                <c:pt idx="5">
                  <c:v>0.68928240728019108</c:v>
                </c:pt>
                <c:pt idx="6">
                  <c:v>0.65878291418041124</c:v>
                </c:pt>
                <c:pt idx="7">
                  <c:v>0.63200392427416463</c:v>
                </c:pt>
                <c:pt idx="8">
                  <c:v>0.60824574758586847</c:v>
                </c:pt>
                <c:pt idx="9">
                  <c:v>0.5869800607408967</c:v>
                </c:pt>
                <c:pt idx="10">
                  <c:v>0.56779946481172683</c:v>
                </c:pt>
                <c:pt idx="11">
                  <c:v>0.55038407891209673</c:v>
                </c:pt>
                <c:pt idx="12">
                  <c:v>0.53447876249188664</c:v>
                </c:pt>
                <c:pt idx="13">
                  <c:v>0.51987718790210835</c:v>
                </c:pt>
                <c:pt idx="14">
                  <c:v>0.50641045444689581</c:v>
                </c:pt>
                <c:pt idx="15">
                  <c:v>0.4939387888199368</c:v>
                </c:pt>
                <c:pt idx="16">
                  <c:v>0.48234538954230705</c:v>
                </c:pt>
                <c:pt idx="17">
                  <c:v>0.47153179015986585</c:v>
                </c:pt>
                <c:pt idx="18">
                  <c:v>0.46141431732693494</c:v>
                </c:pt>
                <c:pt idx="19">
                  <c:v>0.45192135079199747</c:v>
                </c:pt>
                <c:pt idx="20">
                  <c:v>0.44299117919212927</c:v>
                </c:pt>
                <c:pt idx="21">
                  <c:v>0.43457030435773203</c:v>
                </c:pt>
                <c:pt idx="22">
                  <c:v>0.42661208730998534</c:v>
                </c:pt>
                <c:pt idx="23">
                  <c:v>0.41907565745097575</c:v>
                </c:pt>
                <c:pt idx="24">
                  <c:v>0.41192502654608293</c:v>
                </c:pt>
                <c:pt idx="25">
                  <c:v>0.4051283635575168</c:v>
                </c:pt>
                <c:pt idx="26">
                  <c:v>0.39865739691939506</c:v>
                </c:pt>
                <c:pt idx="27">
                  <c:v>0.39248691860406798</c:v>
                </c:pt>
                <c:pt idx="28">
                  <c:v>0.38659437010760977</c:v>
                </c:pt>
                <c:pt idx="29">
                  <c:v>0.38095949482838198</c:v>
                </c:pt>
                <c:pt idx="30">
                  <c:v>0.37556404461184961</c:v>
                </c:pt>
                <c:pt idx="31">
                  <c:v>0.37039153076140929</c:v>
                </c:pt>
                <c:pt idx="32">
                  <c:v>0.36542701176570247</c:v>
                </c:pt>
                <c:pt idx="33">
                  <c:v>0.36065691151060442</c:v>
                </c:pt>
                <c:pt idx="34">
                  <c:v>0.35606886293349466</c:v>
                </c:pt>
                <c:pt idx="35">
                  <c:v>0.35165157301591721</c:v>
                </c:pt>
                <c:pt idx="36">
                  <c:v>0.34739470575607023</c:v>
                </c:pt>
                <c:pt idx="37">
                  <c:v>0.34328878035811022</c:v>
                </c:pt>
                <c:pt idx="38">
                  <c:v>0.33932508235386649</c:v>
                </c:pt>
                <c:pt idx="39">
                  <c:v>0.33549558575934962</c:v>
                </c:pt>
                <c:pt idx="40">
                  <c:v>0.33179288468262652</c:v>
                </c:pt>
                <c:pt idx="41">
                  <c:v>0.32821013305614777</c:v>
                </c:pt>
                <c:pt idx="42">
                  <c:v>0.32474099137702328</c:v>
                </c:pt>
                <c:pt idx="43">
                  <c:v>0.32137957951211821</c:v>
                </c:pt>
                <c:pt idx="44">
                  <c:v>0.31812043476833124</c:v>
                </c:pt>
                <c:pt idx="45">
                  <c:v>0.31495847454764481</c:v>
                </c:pt>
                <c:pt idx="46">
                  <c:v>0.31188896300602453</c:v>
                </c:pt>
                <c:pt idx="47">
                  <c:v>0.30890748121854505</c:v>
                </c:pt>
                <c:pt idx="48">
                  <c:v>0.30600990042315102</c:v>
                </c:pt>
                <c:pt idx="49">
                  <c:v>0.30319235797452088</c:v>
                </c:pt>
                <c:pt idx="50">
                  <c:v>0.30045123568947979</c:v>
                </c:pt>
              </c:numCache>
            </c:numRef>
          </c:yVal>
          <c:smooth val="1"/>
        </c:ser>
        <c:dLbls>
          <c:showLegendKey val="0"/>
          <c:showVal val="0"/>
          <c:showCatName val="0"/>
          <c:showSerName val="0"/>
          <c:showPercent val="0"/>
          <c:showBubbleSize val="0"/>
        </c:dLbls>
        <c:axId val="116201344"/>
        <c:axId val="116219904"/>
      </c:scatterChart>
      <c:valAx>
        <c:axId val="11620134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6219904"/>
        <c:crosses val="autoZero"/>
        <c:crossBetween val="midCat"/>
      </c:valAx>
      <c:valAx>
        <c:axId val="116219904"/>
        <c:scaling>
          <c:orientation val="minMax"/>
        </c:scaling>
        <c:delete val="0"/>
        <c:axPos val="l"/>
        <c:majorGridlines/>
        <c:title>
          <c:tx>
            <c:rich>
              <a:bodyPr rot="-5400000" vert="horz"/>
              <a:lstStyle/>
              <a:p>
                <a:pPr>
                  <a:defRPr/>
                </a:pPr>
                <a:r>
                  <a:rPr lang="en-US"/>
                  <a:t>IL</a:t>
                </a:r>
                <a:r>
                  <a:rPr lang="en-US" baseline="0"/>
                  <a:t> RMS (A)</a:t>
                </a:r>
                <a:endParaRPr lang="en-US"/>
              </a:p>
            </c:rich>
          </c:tx>
          <c:overlay val="0"/>
        </c:title>
        <c:numFmt formatCode="General" sourceLinked="1"/>
        <c:majorTickMark val="out"/>
        <c:minorTickMark val="none"/>
        <c:tickLblPos val="nextTo"/>
        <c:crossAx val="1162013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Modulator Model {VIN Min,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27.165724495184719</c:v>
                </c:pt>
                <c:pt idx="1">
                  <c:v>27.151376275050595</c:v>
                </c:pt>
                <c:pt idx="2">
                  <c:v>27.127567427826705</c:v>
                </c:pt>
                <c:pt idx="3">
                  <c:v>27.094452836125669</c:v>
                </c:pt>
                <c:pt idx="4">
                  <c:v>27.052244653532721</c:v>
                </c:pt>
                <c:pt idx="5">
                  <c:v>27.001207874430992</c:v>
                </c:pt>
                <c:pt idx="6">
                  <c:v>26.941654976470772</c:v>
                </c:pt>
                <c:pt idx="7">
                  <c:v>26.873939854606114</c:v>
                </c:pt>
                <c:pt idx="8">
                  <c:v>26.798451280377019</c:v>
                </c:pt>
                <c:pt idx="9">
                  <c:v>26.715606120439233</c:v>
                </c:pt>
                <c:pt idx="10">
                  <c:v>25.581733603522316</c:v>
                </c:pt>
                <c:pt idx="11">
                  <c:v>24.17365642982428</c:v>
                </c:pt>
                <c:pt idx="12">
                  <c:v>22.75087054052662</c:v>
                </c:pt>
                <c:pt idx="13">
                  <c:v>21.418243120800948</c:v>
                </c:pt>
                <c:pt idx="14">
                  <c:v>20.202913184419682</c:v>
                </c:pt>
                <c:pt idx="15">
                  <c:v>19.102291557676814</c:v>
                </c:pt>
                <c:pt idx="16">
                  <c:v>18.104586539919428</c:v>
                </c:pt>
                <c:pt idx="17">
                  <c:v>17.196459131140411</c:v>
                </c:pt>
                <c:pt idx="18">
                  <c:v>16.365586294285009</c:v>
                </c:pt>
                <c:pt idx="19">
                  <c:v>10.632190058395077</c:v>
                </c:pt>
                <c:pt idx="20">
                  <c:v>7.1773486966161268</c:v>
                </c:pt>
                <c:pt idx="21">
                  <c:v>4.7160118548867995</c:v>
                </c:pt>
                <c:pt idx="22">
                  <c:v>2.81024731467638</c:v>
                </c:pt>
                <c:pt idx="23">
                  <c:v>1.2601128594008757</c:v>
                </c:pt>
                <c:pt idx="24">
                  <c:v>-4.2266862223460995E-2</c:v>
                </c:pt>
                <c:pt idx="25">
                  <c:v>-1.161718994641006</c:v>
                </c:pt>
                <c:pt idx="26">
                  <c:v>-2.140263558998122</c:v>
                </c:pt>
                <c:pt idx="27">
                  <c:v>-3.0067137038183689</c:v>
                </c:pt>
                <c:pt idx="28">
                  <c:v>-8.3347488893702621</c:v>
                </c:pt>
                <c:pt idx="29">
                  <c:v>-10.913442755523327</c:v>
                </c:pt>
                <c:pt idx="30">
                  <c:v>-12.376208911665341</c:v>
                </c:pt>
                <c:pt idx="31">
                  <c:v>-13.283372422789668</c:v>
                </c:pt>
                <c:pt idx="32">
                  <c:v>-13.888488189883416</c:v>
                </c:pt>
                <c:pt idx="33">
                  <c:v>-14.3195141032274</c:v>
                </c:pt>
                <c:pt idx="34">
                  <c:v>-14.645348527772391</c:v>
                </c:pt>
                <c:pt idx="35">
                  <c:v>-14.904951429090008</c:v>
                </c:pt>
                <c:pt idx="36">
                  <c:v>-15.121250517558851</c:v>
                </c:pt>
                <c:pt idx="37">
                  <c:v>-16.453681488734926</c:v>
                </c:pt>
                <c:pt idx="38">
                  <c:v>-17.24857377614217</c:v>
                </c:pt>
                <c:pt idx="39">
                  <c:v>-17.749234369786027</c:v>
                </c:pt>
                <c:pt idx="40">
                  <c:v>-18.065799671722385</c:v>
                </c:pt>
                <c:pt idx="41">
                  <c:v>-18.271745890047711</c:v>
                </c:pt>
                <c:pt idx="42">
                  <c:v>-18.410654089699346</c:v>
                </c:pt>
                <c:pt idx="43">
                  <c:v>-18.50772071738583</c:v>
                </c:pt>
                <c:pt idx="44">
                  <c:v>-18.577750671676526</c:v>
                </c:pt>
                <c:pt idx="45">
                  <c:v>-18.62970893580048</c:v>
                </c:pt>
                <c:pt idx="46">
                  <c:v>-18.807320802174768</c:v>
                </c:pt>
                <c:pt idx="47">
                  <c:v>-18.842297312384162</c:v>
                </c:pt>
                <c:pt idx="48">
                  <c:v>-18.854704228517129</c:v>
                </c:pt>
                <c:pt idx="49">
                  <c:v>-18.860476320551452</c:v>
                </c:pt>
                <c:pt idx="50">
                  <c:v>-18.863619643249169</c:v>
                </c:pt>
                <c:pt idx="51">
                  <c:v>-18.865517652426238</c:v>
                </c:pt>
                <c:pt idx="52">
                  <c:v>-18.866750616303662</c:v>
                </c:pt>
                <c:pt idx="53">
                  <c:v>-18.867596425431874</c:v>
                </c:pt>
                <c:pt idx="54">
                  <c:v>-18.868201674030633</c:v>
                </c:pt>
                <c:pt idx="55">
                  <c:v>-18.870138256643337</c:v>
                </c:pt>
              </c:numCache>
            </c:numRef>
          </c:yVal>
          <c:smooth val="1"/>
        </c:ser>
        <c:dLbls>
          <c:showLegendKey val="0"/>
          <c:showVal val="0"/>
          <c:showCatName val="0"/>
          <c:showSerName val="0"/>
          <c:showPercent val="0"/>
          <c:showBubbleSize val="0"/>
        </c:dLbls>
        <c:axId val="126481920"/>
        <c:axId val="126483840"/>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-1.9185800894094369</c:v>
                </c:pt>
                <c:pt idx="1">
                  <c:v>-3.8329685119564023</c:v>
                </c:pt>
                <c:pt idx="2">
                  <c:v>-5.7390287244832079</c:v>
                </c:pt>
                <c:pt idx="3">
                  <c:v>-7.6327326314255917</c:v>
                </c:pt>
                <c:pt idx="4">
                  <c:v>-9.5102104177777633</c:v>
                </c:pt>
                <c:pt idx="5">
                  <c:v>-11.367795407010014</c:v>
                </c:pt>
                <c:pt idx="6">
                  <c:v>-13.202062745644641</c:v>
                </c:pt>
                <c:pt idx="7">
                  <c:v>-15.009861055103169</c:v>
                </c:pt>
                <c:pt idx="8">
                  <c:v>-16.788336554584742</c:v>
                </c:pt>
                <c:pt idx="9">
                  <c:v>-18.534949517740923</c:v>
                </c:pt>
                <c:pt idx="10">
                  <c:v>-33.914134770989129</c:v>
                </c:pt>
                <c:pt idx="11">
                  <c:v>-45.369564323498416</c:v>
                </c:pt>
                <c:pt idx="12">
                  <c:v>-53.655365475850502</c:v>
                </c:pt>
                <c:pt idx="13">
                  <c:v>-59.720497261355192</c:v>
                </c:pt>
                <c:pt idx="14">
                  <c:v>-64.278605500168851</c:v>
                </c:pt>
                <c:pt idx="15">
                  <c:v>-67.803898291191814</c:v>
                </c:pt>
                <c:pt idx="16">
                  <c:v>-70.604458917090327</c:v>
                </c:pt>
                <c:pt idx="17">
                  <c:v>-72.882766935834525</c:v>
                </c:pt>
                <c:pt idx="18">
                  <c:v>-74.774970667399955</c:v>
                </c:pt>
                <c:pt idx="19">
                  <c:v>-84.486370620771254</c:v>
                </c:pt>
                <c:pt idx="20">
                  <c:v>-88.831778102647505</c:v>
                </c:pt>
                <c:pt idx="21">
                  <c:v>-91.769061157694168</c:v>
                </c:pt>
                <c:pt idx="22">
                  <c:v>-94.131699382498724</c:v>
                </c:pt>
                <c:pt idx="23">
                  <c:v>-96.200476218119363</c:v>
                </c:pt>
                <c:pt idx="24">
                  <c:v>-98.095597274250522</c:v>
                </c:pt>
                <c:pt idx="25">
                  <c:v>-99.876638745406055</c:v>
                </c:pt>
                <c:pt idx="26">
                  <c:v>-101.57616640626324</c:v>
                </c:pt>
                <c:pt idx="27">
                  <c:v>-103.21325387501324</c:v>
                </c:pt>
                <c:pt idx="28">
                  <c:v>-117.49685110634275</c:v>
                </c:pt>
                <c:pt idx="29">
                  <c:v>-128.96691576033911</c:v>
                </c:pt>
                <c:pt idx="30">
                  <c:v>-138.09548253635825</c:v>
                </c:pt>
                <c:pt idx="31">
                  <c:v>-145.34641313770643</c:v>
                </c:pt>
                <c:pt idx="32">
                  <c:v>-151.16176002187979</c:v>
                </c:pt>
                <c:pt idx="33">
                  <c:v>-155.89470659682706</c:v>
                </c:pt>
                <c:pt idx="34">
                  <c:v>-159.80670486339883</c:v>
                </c:pt>
                <c:pt idx="35">
                  <c:v>-163.08645725354242</c:v>
                </c:pt>
                <c:pt idx="36">
                  <c:v>-165.87003459184314</c:v>
                </c:pt>
                <c:pt idx="37">
                  <c:v>-179.8837097594994</c:v>
                </c:pt>
                <c:pt idx="38">
                  <c:v>176.07504190694209</c:v>
                </c:pt>
                <c:pt idx="39">
                  <c:v>175.02388543428751</c:v>
                </c:pt>
                <c:pt idx="40">
                  <c:v>174.96330841796086</c:v>
                </c:pt>
                <c:pt idx="41">
                  <c:v>175.22282539499025</c:v>
                </c:pt>
                <c:pt idx="42">
                  <c:v>175.56748080395113</c:v>
                </c:pt>
                <c:pt idx="43">
                  <c:v>175.91402984791677</c:v>
                </c:pt>
                <c:pt idx="44">
                  <c:v>176.23452606315587</c:v>
                </c:pt>
                <c:pt idx="45">
                  <c:v>176.52173061809148</c:v>
                </c:pt>
                <c:pt idx="46">
                  <c:v>178.10755323225402</c:v>
                </c:pt>
                <c:pt idx="47">
                  <c:v>178.71816999824475</c:v>
                </c:pt>
                <c:pt idx="48">
                  <c:v>179.03324968151986</c:v>
                </c:pt>
                <c:pt idx="49">
                  <c:v>179.22459761840602</c:v>
                </c:pt>
                <c:pt idx="50">
                  <c:v>179.3529226335759</c:v>
                </c:pt>
                <c:pt idx="51">
                  <c:v>179.44489190304867</c:v>
                </c:pt>
                <c:pt idx="52">
                  <c:v>179.51401304876654</c:v>
                </c:pt>
                <c:pt idx="53">
                  <c:v>179.56784856021892</c:v>
                </c:pt>
                <c:pt idx="54">
                  <c:v>179.61095870049672</c:v>
                </c:pt>
                <c:pt idx="55">
                  <c:v>179.80531135601905</c:v>
                </c:pt>
              </c:numCache>
            </c:numRef>
          </c:yVal>
          <c:smooth val="1"/>
        </c:ser>
        <c:dLbls>
          <c:showLegendKey val="0"/>
          <c:showVal val="0"/>
          <c:showCatName val="0"/>
          <c:showSerName val="0"/>
          <c:showPercent val="0"/>
          <c:showBubbleSize val="0"/>
        </c:dLbls>
        <c:axId val="127217024"/>
        <c:axId val="127215104"/>
      </c:scatterChart>
      <c:valAx>
        <c:axId val="126481920"/>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overlay val="0"/>
        </c:title>
        <c:numFmt formatCode="0.E+00" sourceLinked="0"/>
        <c:majorTickMark val="out"/>
        <c:minorTickMark val="none"/>
        <c:tickLblPos val="low"/>
        <c:crossAx val="126483840"/>
        <c:crosses val="autoZero"/>
        <c:crossBetween val="midCat"/>
      </c:valAx>
      <c:valAx>
        <c:axId val="126483840"/>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6481920"/>
        <c:crosses val="autoZero"/>
        <c:crossBetween val="midCat"/>
        <c:majorUnit val="20"/>
      </c:valAx>
      <c:valAx>
        <c:axId val="12721510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7217024"/>
        <c:crosses val="max"/>
        <c:crossBetween val="midCat"/>
      </c:valAx>
      <c:valAx>
        <c:axId val="127217024"/>
        <c:scaling>
          <c:logBase val="10"/>
          <c:orientation val="minMax"/>
        </c:scaling>
        <c:delete val="1"/>
        <c:axPos val="b"/>
        <c:majorGridlines/>
        <c:minorGridlines/>
        <c:numFmt formatCode="##0.000E+0" sourceLinked="1"/>
        <c:majorTickMark val="out"/>
        <c:minorTickMark val="none"/>
        <c:tickLblPos val="nextTo"/>
        <c:crossAx val="127215104"/>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Isolated Compensation</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Flyback_CCM_Calc!$DK$4:$DK$59</c:f>
              <c:numCache>
                <c:formatCode>General</c:formatCode>
                <c:ptCount val="56"/>
                <c:pt idx="0">
                  <c:v>49.160767945602679</c:v>
                </c:pt>
                <c:pt idx="1">
                  <c:v>43.142656316086757</c:v>
                </c:pt>
                <c:pt idx="2">
                  <c:v>39.624975109019815</c:v>
                </c:pt>
                <c:pt idx="3">
                  <c:v>37.131995305514707</c:v>
                </c:pt>
                <c:pt idx="4">
                  <c:v>35.201234323928297</c:v>
                </c:pt>
                <c:pt idx="5">
                  <c:v>33.626684582727549</c:v>
                </c:pt>
                <c:pt idx="6">
                  <c:v>32.298449610065163</c:v>
                </c:pt>
                <c:pt idx="7">
                  <c:v>31.150925095783322</c:v>
                </c:pt>
                <c:pt idx="8">
                  <c:v>30.141788913252977</c:v>
                </c:pt>
                <c:pt idx="9">
                  <c:v>29.242137766631355</c:v>
                </c:pt>
                <c:pt idx="10">
                  <c:v>23.459194522292606</c:v>
                </c:pt>
                <c:pt idx="11">
                  <c:v>20.30666481552803</c:v>
                </c:pt>
                <c:pt idx="12">
                  <c:v>18.277231543202358</c:v>
                </c:pt>
                <c:pt idx="13">
                  <c:v>16.876352032154095</c:v>
                </c:pt>
                <c:pt idx="14">
                  <c:v>15.870285029850088</c:v>
                </c:pt>
                <c:pt idx="15">
                  <c:v>15.127605441982448</c:v>
                </c:pt>
                <c:pt idx="16">
                  <c:v>14.567264313440706</c:v>
                </c:pt>
                <c:pt idx="17">
                  <c:v>14.136539125331494</c:v>
                </c:pt>
                <c:pt idx="18">
                  <c:v>13.79993112098521</c:v>
                </c:pt>
                <c:pt idx="19">
                  <c:v>12.505737436726672</c:v>
                </c:pt>
                <c:pt idx="20">
                  <c:v>12.216885105748874</c:v>
                </c:pt>
                <c:pt idx="21">
                  <c:v>12.110743883858818</c:v>
                </c:pt>
                <c:pt idx="22">
                  <c:v>12.060361288634468</c:v>
                </c:pt>
                <c:pt idx="23">
                  <c:v>12.032359430531949</c:v>
                </c:pt>
                <c:pt idx="24">
                  <c:v>12.014983343492357</c:v>
                </c:pt>
                <c:pt idx="25">
                  <c:v>12.003250821491458</c:v>
                </c:pt>
                <c:pt idx="26">
                  <c:v>11.994760916221626</c:v>
                </c:pt>
                <c:pt idx="27">
                  <c:v>11.98824194548429</c:v>
                </c:pt>
                <c:pt idx="28">
                  <c:v>11.952056754648785</c:v>
                </c:pt>
                <c:pt idx="29">
                  <c:v>11.917100185900553</c:v>
                </c:pt>
                <c:pt idx="30">
                  <c:v>11.871859614147311</c:v>
                </c:pt>
                <c:pt idx="31">
                  <c:v>11.815253030440214</c:v>
                </c:pt>
                <c:pt idx="32">
                  <c:v>11.747383933920283</c:v>
                </c:pt>
                <c:pt idx="33">
                  <c:v>11.668668785345016</c:v>
                </c:pt>
                <c:pt idx="34">
                  <c:v>11.579658988251495</c:v>
                </c:pt>
                <c:pt idx="35">
                  <c:v>11.480981980110201</c:v>
                </c:pt>
                <c:pt idx="36">
                  <c:v>11.373311944792235</c:v>
                </c:pt>
                <c:pt idx="37">
                  <c:v>9.9540991622843382</c:v>
                </c:pt>
                <c:pt idx="38">
                  <c:v>8.2970083184517556</c:v>
                </c:pt>
                <c:pt idx="39">
                  <c:v>6.7010884442597254</c:v>
                </c:pt>
                <c:pt idx="40">
                  <c:v>5.2541615110935611</c:v>
                </c:pt>
                <c:pt idx="41">
                  <c:v>3.9626911495080925</c:v>
                </c:pt>
                <c:pt idx="42">
                  <c:v>2.8099090964167845</c:v>
                </c:pt>
                <c:pt idx="43">
                  <c:v>1.7753064413827486</c:v>
                </c:pt>
                <c:pt idx="44">
                  <c:v>0.84025309424753414</c:v>
                </c:pt>
                <c:pt idx="45">
                  <c:v>-1.0840793871186713E-2</c:v>
                </c:pt>
                <c:pt idx="46">
                  <c:v>-5.8200501474725277</c:v>
                </c:pt>
                <c:pt idx="47">
                  <c:v>-9.3015741328676693</c:v>
                </c:pt>
                <c:pt idx="48">
                  <c:v>-11.78615462466537</c:v>
                </c:pt>
                <c:pt idx="49">
                  <c:v>-13.717769240260653</c:v>
                </c:pt>
                <c:pt idx="50">
                  <c:v>-15.29781258379151</c:v>
                </c:pt>
                <c:pt idx="51">
                  <c:v>-16.634587369865624</c:v>
                </c:pt>
                <c:pt idx="52">
                  <c:v>-17.793023157393336</c:v>
                </c:pt>
                <c:pt idx="53">
                  <c:v>-18.81511134791101</c:v>
                </c:pt>
                <c:pt idx="54">
                  <c:v>-19.729572730508938</c:v>
                </c:pt>
                <c:pt idx="55">
                  <c:v>-25.747970751302066</c:v>
                </c:pt>
              </c:numCache>
            </c:numRef>
          </c:yVal>
          <c:smooth val="1"/>
        </c:ser>
        <c:dLbls>
          <c:showLegendKey val="0"/>
          <c:showVal val="0"/>
          <c:showCatName val="0"/>
          <c:showSerName val="0"/>
          <c:showPercent val="0"/>
          <c:showBubbleSize val="0"/>
        </c:dLbls>
        <c:axId val="127432192"/>
        <c:axId val="127434112"/>
      </c:scatterChart>
      <c:scatterChart>
        <c:scatterStyle val="smoothMarker"/>
        <c:varyColors val="0"/>
        <c:ser>
          <c:idx val="1"/>
          <c:order val="1"/>
          <c:tx>
            <c:v>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Flyback_CCM_Calc!$DL$4:$DL$59</c:f>
              <c:numCache>
                <c:formatCode>General</c:formatCode>
                <c:ptCount val="56"/>
                <c:pt idx="0">
                  <c:v>90.789746361840571</c:v>
                </c:pt>
                <c:pt idx="1">
                  <c:v>91.579190233425876</c:v>
                </c:pt>
                <c:pt idx="2">
                  <c:v>92.368029817156128</c:v>
                </c:pt>
                <c:pt idx="3">
                  <c:v>93.155964696782164</c:v>
                </c:pt>
                <c:pt idx="4">
                  <c:v>93.942696518221979</c:v>
                </c:pt>
                <c:pt idx="5">
                  <c:v>94.727929658664095</c:v>
                </c:pt>
                <c:pt idx="6">
                  <c:v>95.511371880247154</c:v>
                </c:pt>
                <c:pt idx="7">
                  <c:v>96.292734964766368</c:v>
                </c:pt>
                <c:pt idx="8">
                  <c:v>97.071735326055475</c:v>
                </c:pt>
                <c:pt idx="9">
                  <c:v>97.848094596919566</c:v>
                </c:pt>
                <c:pt idx="10">
                  <c:v>105.40993681039981</c:v>
                </c:pt>
                <c:pt idx="11">
                  <c:v>112.45721154703612</c:v>
                </c:pt>
                <c:pt idx="12">
                  <c:v>118.85096900750278</c:v>
                </c:pt>
                <c:pt idx="13">
                  <c:v>124.54014457282163</c:v>
                </c:pt>
                <c:pt idx="14">
                  <c:v>129.5394571651459</c:v>
                </c:pt>
                <c:pt idx="15">
                  <c:v>133.90269750504362</c:v>
                </c:pt>
                <c:pt idx="16">
                  <c:v>137.70103824049519</c:v>
                </c:pt>
                <c:pt idx="17">
                  <c:v>141.00894483783009</c:v>
                </c:pt>
                <c:pt idx="18">
                  <c:v>143.8965168716382</c:v>
                </c:pt>
                <c:pt idx="19">
                  <c:v>159.67351186432839</c:v>
                </c:pt>
                <c:pt idx="20">
                  <c:v>165.78138357248719</c:v>
                </c:pt>
                <c:pt idx="21">
                  <c:v>168.86721202127003</c:v>
                </c:pt>
                <c:pt idx="22">
                  <c:v>170.66575216692414</c:v>
                </c:pt>
                <c:pt idx="23">
                  <c:v>171.80323945394812</c:v>
                </c:pt>
                <c:pt idx="24">
                  <c:v>172.55771176309099</c:v>
                </c:pt>
                <c:pt idx="25">
                  <c:v>173.07085278681276</c:v>
                </c:pt>
                <c:pt idx="26">
                  <c:v>173.42228340046833</c:v>
                </c:pt>
                <c:pt idx="27">
                  <c:v>173.66013573997554</c:v>
                </c:pt>
                <c:pt idx="28">
                  <c:v>173.53068100915348</c:v>
                </c:pt>
                <c:pt idx="29">
                  <c:v>172.0381029750061</c:v>
                </c:pt>
                <c:pt idx="30">
                  <c:v>170.21960189254239</c:v>
                </c:pt>
                <c:pt idx="31">
                  <c:v>168.28787216382239</c:v>
                </c:pt>
                <c:pt idx="32">
                  <c:v>166.31734664559718</c:v>
                </c:pt>
                <c:pt idx="33">
                  <c:v>164.34255407146148</c:v>
                </c:pt>
                <c:pt idx="34">
                  <c:v>162.38270139434499</c:v>
                </c:pt>
                <c:pt idx="35">
                  <c:v>160.44985568997316</c:v>
                </c:pt>
                <c:pt idx="36">
                  <c:v>158.55221535856583</c:v>
                </c:pt>
                <c:pt idx="37">
                  <c:v>142.23024081419172</c:v>
                </c:pt>
                <c:pt idx="38">
                  <c:v>130.78244491923508</c:v>
                </c:pt>
                <c:pt idx="39">
                  <c:v>122.92599272617663</c:v>
                </c:pt>
                <c:pt idx="40">
                  <c:v>117.39668246891074</c:v>
                </c:pt>
                <c:pt idx="41">
                  <c:v>113.36420041075044</c:v>
                </c:pt>
                <c:pt idx="42">
                  <c:v>110.32132828712881</c:v>
                </c:pt>
                <c:pt idx="43">
                  <c:v>107.95604815086024</c:v>
                </c:pt>
                <c:pt idx="44">
                  <c:v>106.07071799394335</c:v>
                </c:pt>
                <c:pt idx="45">
                  <c:v>104.53583083598507</c:v>
                </c:pt>
                <c:pt idx="46">
                  <c:v>97.387795847936871</c:v>
                </c:pt>
                <c:pt idx="47">
                  <c:v>94.940523285644872</c:v>
                </c:pt>
                <c:pt idx="48">
                  <c:v>93.70944598577924</c:v>
                </c:pt>
                <c:pt idx="49">
                  <c:v>92.969062066689844</c:v>
                </c:pt>
                <c:pt idx="50">
                  <c:v>92.474900748520099</c:v>
                </c:pt>
                <c:pt idx="51">
                  <c:v>92.121696442667016</c:v>
                </c:pt>
                <c:pt idx="52">
                  <c:v>91.856684925981227</c:v>
                </c:pt>
                <c:pt idx="53">
                  <c:v>91.650508852941343</c:v>
                </c:pt>
                <c:pt idx="54">
                  <c:v>91.48553668716562</c:v>
                </c:pt>
                <c:pt idx="55">
                  <c:v>90.742894241497396</c:v>
                </c:pt>
              </c:numCache>
            </c:numRef>
          </c:yVal>
          <c:smooth val="1"/>
        </c:ser>
        <c:dLbls>
          <c:showLegendKey val="0"/>
          <c:showVal val="0"/>
          <c:showCatName val="0"/>
          <c:showSerName val="0"/>
          <c:showPercent val="0"/>
          <c:showBubbleSize val="0"/>
        </c:dLbls>
        <c:axId val="127450496"/>
        <c:axId val="127448576"/>
      </c:scatterChart>
      <c:valAx>
        <c:axId val="127432192"/>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27434112"/>
        <c:crosses val="autoZero"/>
        <c:crossBetween val="midCat"/>
      </c:valAx>
      <c:valAx>
        <c:axId val="127434112"/>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7432192"/>
        <c:crosses val="autoZero"/>
        <c:crossBetween val="midCat"/>
        <c:majorUnit val="20"/>
      </c:valAx>
      <c:valAx>
        <c:axId val="12744857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7450496"/>
        <c:crosses val="max"/>
        <c:crossBetween val="midCat"/>
      </c:valAx>
      <c:valAx>
        <c:axId val="127450496"/>
        <c:scaling>
          <c:logBase val="10"/>
          <c:orientation val="minMax"/>
        </c:scaling>
        <c:delete val="1"/>
        <c:axPos val="b"/>
        <c:majorGridlines/>
        <c:minorGridlines/>
        <c:numFmt formatCode="##0.000E+0" sourceLinked="1"/>
        <c:majorTickMark val="out"/>
        <c:minorTickMark val="none"/>
        <c:tickLblPos val="nextTo"/>
        <c:crossAx val="127448576"/>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Non-Isolated Compensation</a:t>
            </a:r>
            <a:endParaRPr lang="en-US">
              <a:effectLst/>
            </a:endParaRPr>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Flyback_CCM_Calc!$DI$4:$DI$59</c:f>
              <c:numCache>
                <c:formatCode>General</c:formatCode>
                <c:ptCount val="56"/>
                <c:pt idx="0">
                  <c:v>48.874196155527002</c:v>
                </c:pt>
                <c:pt idx="1">
                  <c:v>42.85625304444045</c:v>
                </c:pt>
                <c:pt idx="2">
                  <c:v>39.338852258337944</c:v>
                </c:pt>
                <c:pt idx="3">
                  <c:v>36.84626411645479</c:v>
                </c:pt>
                <c:pt idx="4">
                  <c:v>34.916005115987339</c:v>
                </c:pt>
                <c:pt idx="5">
                  <c:v>33.342066500354697</c:v>
                </c:pt>
                <c:pt idx="6">
                  <c:v>32.014550375609971</c:v>
                </c:pt>
                <c:pt idx="7">
                  <c:v>30.867850770646239</c:v>
                </c:pt>
                <c:pt idx="8">
                  <c:v>29.859643668516554</c:v>
                </c:pt>
                <c:pt idx="9">
                  <c:v>28.961023664351234</c:v>
                </c:pt>
                <c:pt idx="10">
                  <c:v>23.193410783330922</c:v>
                </c:pt>
                <c:pt idx="11">
                  <c:v>20.063003516056988</c:v>
                </c:pt>
                <c:pt idx="12">
                  <c:v>18.058963672689682</c:v>
                </c:pt>
                <c:pt idx="13">
                  <c:v>16.683826193638861</c:v>
                </c:pt>
                <c:pt idx="14">
                  <c:v>15.701958798818911</c:v>
                </c:pt>
                <c:pt idx="15">
                  <c:v>14.980990351335638</c:v>
                </c:pt>
                <c:pt idx="16">
                  <c:v>14.439582419546202</c:v>
                </c:pt>
                <c:pt idx="17">
                  <c:v>14.025099329757181</c:v>
                </c:pt>
                <c:pt idx="18">
                  <c:v>13.702306602140036</c:v>
                </c:pt>
                <c:pt idx="19">
                  <c:v>12.471847802971254</c:v>
                </c:pt>
                <c:pt idx="20">
                  <c:v>12.199843808527751</c:v>
                </c:pt>
                <c:pt idx="21">
                  <c:v>12.100158722803746</c:v>
                </c:pt>
                <c:pt idx="22">
                  <c:v>12.05288785847622</c:v>
                </c:pt>
                <c:pt idx="23">
                  <c:v>12.026624774831514</c:v>
                </c:pt>
                <c:pt idx="24">
                  <c:v>12.010327405198737</c:v>
                </c:pt>
                <c:pt idx="25">
                  <c:v>11.999319929674213</c:v>
                </c:pt>
                <c:pt idx="26">
                  <c:v>11.991350275904695</c:v>
                </c:pt>
                <c:pt idx="27">
                  <c:v>11.985226036994717</c:v>
                </c:pt>
                <c:pt idx="28">
                  <c:v>11.951062007922573</c:v>
                </c:pt>
                <c:pt idx="29">
                  <c:v>11.917864469490329</c:v>
                </c:pt>
                <c:pt idx="30">
                  <c:v>11.874839729961232</c:v>
                </c:pt>
                <c:pt idx="31">
                  <c:v>11.820963002577315</c:v>
                </c:pt>
                <c:pt idx="32">
                  <c:v>11.756317985059423</c:v>
                </c:pt>
                <c:pt idx="33">
                  <c:v>11.681280420025448</c:v>
                </c:pt>
                <c:pt idx="34">
                  <c:v>11.596352222919236</c:v>
                </c:pt>
                <c:pt idx="35">
                  <c:v>11.502107135223444</c:v>
                </c:pt>
                <c:pt idx="36">
                  <c:v>11.399164033408674</c:v>
                </c:pt>
                <c:pt idx="37">
                  <c:v>10.032787751641166</c:v>
                </c:pt>
                <c:pt idx="38">
                  <c:v>8.4195437091441327</c:v>
                </c:pt>
                <c:pt idx="39">
                  <c:v>6.8528934094909104</c:v>
                </c:pt>
                <c:pt idx="40">
                  <c:v>5.4247457066636597</c:v>
                </c:pt>
                <c:pt idx="41">
                  <c:v>4.1455367423425056</c:v>
                </c:pt>
                <c:pt idx="42">
                  <c:v>3.0010282408947129</c:v>
                </c:pt>
                <c:pt idx="43">
                  <c:v>1.9722039368705913</c:v>
                </c:pt>
                <c:pt idx="44">
                  <c:v>1.0413163389939035</c:v>
                </c:pt>
                <c:pt idx="45">
                  <c:v>0.19331093768699889</c:v>
                </c:pt>
                <c:pt idx="46">
                  <c:v>-5.6053602694000881</c:v>
                </c:pt>
                <c:pt idx="47">
                  <c:v>-9.0848133022661912</c:v>
                </c:pt>
                <c:pt idx="48">
                  <c:v>-11.568659571069189</c:v>
                </c:pt>
                <c:pt idx="49">
                  <c:v>-13.499932674071127</c:v>
                </c:pt>
                <c:pt idx="50">
                  <c:v>-15.079790058485438</c:v>
                </c:pt>
                <c:pt idx="51">
                  <c:v>-16.416452564860691</c:v>
                </c:pt>
                <c:pt idx="52">
                  <c:v>-17.574815417159805</c:v>
                </c:pt>
                <c:pt idx="53">
                  <c:v>-18.596853575574091</c:v>
                </c:pt>
                <c:pt idx="54">
                  <c:v>-19.511279156544106</c:v>
                </c:pt>
                <c:pt idx="55">
                  <c:v>-25.529562628151957</c:v>
                </c:pt>
              </c:numCache>
            </c:numRef>
          </c:yVal>
          <c:smooth val="1"/>
        </c:ser>
        <c:dLbls>
          <c:showLegendKey val="0"/>
          <c:showVal val="0"/>
          <c:showCatName val="0"/>
          <c:showSerName val="0"/>
          <c:showPercent val="0"/>
          <c:showBubbleSize val="0"/>
        </c:dLbls>
        <c:axId val="128001536"/>
        <c:axId val="128003456"/>
      </c:scatterChart>
      <c:scatterChart>
        <c:scatterStyle val="smoothMarker"/>
        <c:varyColors val="0"/>
        <c:ser>
          <c:idx val="1"/>
          <c:order val="1"/>
          <c:tx>
            <c:v>Non 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Flyback_CCM_Calc!$DJ$4:$DJ$59</c:f>
              <c:numCache>
                <c:formatCode>##0.000E+0</c:formatCode>
                <c:ptCount val="56"/>
                <c:pt idx="0">
                  <c:v>90.816188909976702</c:v>
                </c:pt>
                <c:pt idx="1">
                  <c:v>91.632044083210246</c:v>
                </c:pt>
                <c:pt idx="2">
                  <c:v>92.447232598869974</c:v>
                </c:pt>
                <c:pt idx="3">
                  <c:v>93.26142316296999</c:v>
                </c:pt>
                <c:pt idx="4">
                  <c:v>94.074286909397202</c:v>
                </c:pt>
                <c:pt idx="5">
                  <c:v>94.885498186223728</c:v>
                </c:pt>
                <c:pt idx="6">
                  <c:v>95.694735322658204</c:v>
                </c:pt>
                <c:pt idx="7">
                  <c:v>96.501681372206534</c:v>
                </c:pt>
                <c:pt idx="8">
                  <c:v>97.306024827876527</c:v>
                </c:pt>
                <c:pt idx="9">
                  <c:v>98.1074603055648</c:v>
                </c:pt>
                <c:pt idx="10">
                  <c:v>105.9002433313629</c:v>
                </c:pt>
                <c:pt idx="11">
                  <c:v>113.13114513164369</c:v>
                </c:pt>
                <c:pt idx="12">
                  <c:v>119.65538559623594</c:v>
                </c:pt>
                <c:pt idx="13">
                  <c:v>125.42635169920712</c:v>
                </c:pt>
                <c:pt idx="14">
                  <c:v>130.46831297466355</c:v>
                </c:pt>
                <c:pt idx="15">
                  <c:v>134.84548946806541</c:v>
                </c:pt>
                <c:pt idx="16">
                  <c:v>138.63812103886821</c:v>
                </c:pt>
                <c:pt idx="17">
                  <c:v>141.92767358714181</c:v>
                </c:pt>
                <c:pt idx="18">
                  <c:v>144.78928014736908</c:v>
                </c:pt>
                <c:pt idx="19">
                  <c:v>160.27777128827415</c:v>
                </c:pt>
                <c:pt idx="20">
                  <c:v>166.21976445674164</c:v>
                </c:pt>
                <c:pt idx="21">
                  <c:v>169.2132046426311</c:v>
                </c:pt>
                <c:pt idx="22">
                  <c:v>170.95536961914843</c:v>
                </c:pt>
                <c:pt idx="23">
                  <c:v>172.05602965077958</c:v>
                </c:pt>
                <c:pt idx="24">
                  <c:v>172.78532164577291</c:v>
                </c:pt>
                <c:pt idx="25">
                  <c:v>173.28073997950273</c:v>
                </c:pt>
                <c:pt idx="26">
                  <c:v>173.61949574364345</c:v>
                </c:pt>
                <c:pt idx="27">
                  <c:v>173.84824233522409</c:v>
                </c:pt>
                <c:pt idx="28">
                  <c:v>173.7071754506614</c:v>
                </c:pt>
                <c:pt idx="29">
                  <c:v>172.24607817883899</c:v>
                </c:pt>
                <c:pt idx="30">
                  <c:v>170.46878328164436</c:v>
                </c:pt>
                <c:pt idx="31">
                  <c:v>168.5809402637073</c:v>
                </c:pt>
                <c:pt idx="32">
                  <c:v>166.65441006968527</c:v>
                </c:pt>
                <c:pt idx="33">
                  <c:v>164.72247098855334</c:v>
                </c:pt>
                <c:pt idx="34">
                  <c:v>162.80361287054112</c:v>
                </c:pt>
                <c:pt idx="35">
                  <c:v>160.90945600712706</c:v>
                </c:pt>
                <c:pt idx="36">
                  <c:v>159.04791552127892</c:v>
                </c:pt>
                <c:pt idx="37">
                  <c:v>142.93696017980275</c:v>
                </c:pt>
                <c:pt idx="38">
                  <c:v>131.50750766390732</c:v>
                </c:pt>
                <c:pt idx="39">
                  <c:v>123.59692198098078</c:v>
                </c:pt>
                <c:pt idx="40">
                  <c:v>117.99868179971388</c:v>
                </c:pt>
                <c:pt idx="41">
                  <c:v>113.90137308896391</c:v>
                </c:pt>
                <c:pt idx="42">
                  <c:v>110.80229815730556</c:v>
                </c:pt>
                <c:pt idx="43">
                  <c:v>108.38944674598999</c:v>
                </c:pt>
                <c:pt idx="44">
                  <c:v>106.46400350936894</c:v>
                </c:pt>
                <c:pt idx="45">
                  <c:v>104.89515413977563</c:v>
                </c:pt>
                <c:pt idx="46">
                  <c:v>97.576612742119138</c:v>
                </c:pt>
                <c:pt idx="47">
                  <c:v>95.067600679647697</c:v>
                </c:pt>
                <c:pt idx="48">
                  <c:v>93.80507296994044</c:v>
                </c:pt>
                <c:pt idx="49">
                  <c:v>93.045682333636861</c:v>
                </c:pt>
                <c:pt idx="50">
                  <c:v>92.538804823463167</c:v>
                </c:pt>
                <c:pt idx="51">
                  <c:v>92.176499234421669</c:v>
                </c:pt>
                <c:pt idx="52">
                  <c:v>91.904653209927829</c:v>
                </c:pt>
                <c:pt idx="53">
                  <c:v>91.693156986866725</c:v>
                </c:pt>
                <c:pt idx="54">
                  <c:v>91.52392622844458</c:v>
                </c:pt>
                <c:pt idx="55">
                  <c:v>90.762098963939309</c:v>
                </c:pt>
              </c:numCache>
            </c:numRef>
          </c:yVal>
          <c:smooth val="1"/>
        </c:ser>
        <c:dLbls>
          <c:showLegendKey val="0"/>
          <c:showVal val="0"/>
          <c:showCatName val="0"/>
          <c:showSerName val="0"/>
          <c:showPercent val="0"/>
          <c:showBubbleSize val="0"/>
        </c:dLbls>
        <c:axId val="128011648"/>
        <c:axId val="128009728"/>
      </c:scatterChart>
      <c:valAx>
        <c:axId val="128001536"/>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28003456"/>
        <c:crosses val="autoZero"/>
        <c:crossBetween val="midCat"/>
      </c:valAx>
      <c:valAx>
        <c:axId val="128003456"/>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8001536"/>
        <c:crosses val="autoZero"/>
        <c:crossBetween val="midCat"/>
        <c:majorUnit val="20"/>
      </c:valAx>
      <c:valAx>
        <c:axId val="12800972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0"/>
        <c:majorTickMark val="out"/>
        <c:minorTickMark val="none"/>
        <c:tickLblPos val="nextTo"/>
        <c:crossAx val="128011648"/>
        <c:crosses val="max"/>
        <c:crossBetween val="midCat"/>
        <c:majorUnit val="45"/>
      </c:valAx>
      <c:valAx>
        <c:axId val="128011648"/>
        <c:scaling>
          <c:logBase val="10"/>
          <c:orientation val="minMax"/>
        </c:scaling>
        <c:delete val="1"/>
        <c:axPos val="b"/>
        <c:majorGridlines/>
        <c:minorGridlines/>
        <c:numFmt formatCode="##0.000E+0" sourceLinked="1"/>
        <c:majorTickMark val="out"/>
        <c:minorTickMark val="none"/>
        <c:tickLblPos val="nextTo"/>
        <c:crossAx val="128009728"/>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Flyback_CCM_Calc!$Q$4:$Q$54</c:f>
              <c:numCache>
                <c:formatCode>0.0000</c:formatCode>
                <c:ptCount val="51"/>
                <c:pt idx="0">
                  <c:v>0.87179487179487181</c:v>
                </c:pt>
                <c:pt idx="1">
                  <c:v>0.85213032581453629</c:v>
                </c:pt>
                <c:pt idx="2">
                  <c:v>0.83333333333333337</c:v>
                </c:pt>
                <c:pt idx="3">
                  <c:v>0.815347721822542</c:v>
                </c:pt>
                <c:pt idx="4">
                  <c:v>0.7981220657276995</c:v>
                </c:pt>
                <c:pt idx="5">
                  <c:v>0.78160919540229878</c:v>
                </c:pt>
                <c:pt idx="6">
                  <c:v>0.76576576576576583</c:v>
                </c:pt>
                <c:pt idx="7">
                  <c:v>0.7505518763796909</c:v>
                </c:pt>
                <c:pt idx="8">
                  <c:v>0.73593073593073599</c:v>
                </c:pt>
                <c:pt idx="9">
                  <c:v>0.72186836518046715</c:v>
                </c:pt>
                <c:pt idx="10">
                  <c:v>0.70833333333333337</c:v>
                </c:pt>
                <c:pt idx="11">
                  <c:v>0.69529652351738236</c:v>
                </c:pt>
                <c:pt idx="12">
                  <c:v>0.68273092369477917</c:v>
                </c:pt>
                <c:pt idx="13">
                  <c:v>0.67061143984220906</c:v>
                </c:pt>
                <c:pt idx="14">
                  <c:v>0.6589147286821706</c:v>
                </c:pt>
                <c:pt idx="15">
                  <c:v>0.64761904761904765</c:v>
                </c:pt>
                <c:pt idx="16">
                  <c:v>0.63670411985018727</c:v>
                </c:pt>
                <c:pt idx="17">
                  <c:v>0.62615101289134434</c:v>
                </c:pt>
                <c:pt idx="18">
                  <c:v>0.61594202898550721</c:v>
                </c:pt>
                <c:pt idx="19">
                  <c:v>0.60606060606060608</c:v>
                </c:pt>
                <c:pt idx="20">
                  <c:v>0.59649122807017541</c:v>
                </c:pt>
                <c:pt idx="21">
                  <c:v>0.58721934369602768</c:v>
                </c:pt>
                <c:pt idx="22">
                  <c:v>0.57823129251700678</c:v>
                </c:pt>
                <c:pt idx="23">
                  <c:v>0.56951423785594635</c:v>
                </c:pt>
                <c:pt idx="24">
                  <c:v>0.56105610561056096</c:v>
                </c:pt>
                <c:pt idx="25">
                  <c:v>0.55284552845528456</c:v>
                </c:pt>
                <c:pt idx="26">
                  <c:v>0.54487179487179493</c:v>
                </c:pt>
                <c:pt idx="27">
                  <c:v>0.53712480252764605</c:v>
                </c:pt>
                <c:pt idx="28">
                  <c:v>0.52959501557632405</c:v>
                </c:pt>
                <c:pt idx="29">
                  <c:v>0.52227342549923195</c:v>
                </c:pt>
                <c:pt idx="30">
                  <c:v>0.51515151515151514</c:v>
                </c:pt>
                <c:pt idx="31">
                  <c:v>0.50822122571001493</c:v>
                </c:pt>
                <c:pt idx="32">
                  <c:v>0.50147492625368728</c:v>
                </c:pt>
                <c:pt idx="33">
                  <c:v>0.49490538573508008</c:v>
                </c:pt>
                <c:pt idx="34">
                  <c:v>0.4885057471264368</c:v>
                </c:pt>
                <c:pt idx="35">
                  <c:v>0.48226950354609927</c:v>
                </c:pt>
                <c:pt idx="36">
                  <c:v>0.47619047619047616</c:v>
                </c:pt>
                <c:pt idx="37">
                  <c:v>0.47026279391424625</c:v>
                </c:pt>
                <c:pt idx="38">
                  <c:v>0.46448087431693996</c:v>
                </c:pt>
                <c:pt idx="39">
                  <c:v>0.45883940620782732</c:v>
                </c:pt>
                <c:pt idx="40">
                  <c:v>0.45333333333333337</c:v>
                </c:pt>
                <c:pt idx="41">
                  <c:v>0.44795783926218707</c:v>
                </c:pt>
                <c:pt idx="42">
                  <c:v>0.44270833333333331</c:v>
                </c:pt>
                <c:pt idx="43">
                  <c:v>0.43758043758043758</c:v>
                </c:pt>
                <c:pt idx="44">
                  <c:v>0.43256997455470736</c:v>
                </c:pt>
                <c:pt idx="45">
                  <c:v>0.42767295597484273</c:v>
                </c:pt>
                <c:pt idx="46">
                  <c:v>0.42288557213930345</c:v>
                </c:pt>
                <c:pt idx="47">
                  <c:v>0.41820418204182036</c:v>
                </c:pt>
                <c:pt idx="48">
                  <c:v>0.41362530413625304</c:v>
                </c:pt>
                <c:pt idx="49">
                  <c:v>0.40914560770156444</c:v>
                </c:pt>
                <c:pt idx="50">
                  <c:v>0.40476190476190482</c:v>
                </c:pt>
              </c:numCache>
            </c:numRef>
          </c:yVal>
          <c:smooth val="1"/>
        </c:ser>
        <c:dLbls>
          <c:showLegendKey val="0"/>
          <c:showVal val="0"/>
          <c:showCatName val="0"/>
          <c:showSerName val="0"/>
          <c:showPercent val="0"/>
          <c:showBubbleSize val="0"/>
        </c:dLbls>
        <c:axId val="128052608"/>
        <c:axId val="128062976"/>
      </c:scatterChart>
      <c:valAx>
        <c:axId val="12805260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28062976"/>
        <c:crosses val="autoZero"/>
        <c:crossBetween val="midCat"/>
      </c:valAx>
      <c:valAx>
        <c:axId val="128062976"/>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28052608"/>
        <c:crosses val="autoZero"/>
        <c:crossBetween val="midCat"/>
      </c:valAx>
    </c:plotArea>
    <c:legend>
      <c:legendPos val="r"/>
      <c:layout>
        <c:manualLayout>
          <c:xMode val="edge"/>
          <c:yMode val="edge"/>
          <c:x val="0.63880555555555552"/>
          <c:y val="0.21483595800524935"/>
          <c:w val="0.13669444444444445"/>
          <c:h val="8.4008889132760847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Flyback_CCM_Calc!$U$4:$U$54</c:f>
              <c:numCache>
                <c:formatCode>General</c:formatCode>
                <c:ptCount val="51"/>
                <c:pt idx="0">
                  <c:v>1.4883107088989442</c:v>
                </c:pt>
                <c:pt idx="1">
                  <c:v>1.305990174838892</c:v>
                </c:pt>
                <c:pt idx="2">
                  <c:v>1.1737745098039214</c:v>
                </c:pt>
                <c:pt idx="3">
                  <c:v>1.0739890593254959</c:v>
                </c:pt>
                <c:pt idx="4">
                  <c:v>0.99636583752400409</c:v>
                </c:pt>
                <c:pt idx="5">
                  <c:v>0.93453435820789299</c:v>
                </c:pt>
                <c:pt idx="6">
                  <c:v>0.88433461742285258</c:v>
                </c:pt>
                <c:pt idx="7">
                  <c:v>0.84293632708313948</c:v>
                </c:pt>
                <c:pt idx="8">
                  <c:v>0.80834804860841503</c:v>
                </c:pt>
                <c:pt idx="9">
                  <c:v>0.77912871085128743</c:v>
                </c:pt>
                <c:pt idx="10">
                  <c:v>0.75421043417366951</c:v>
                </c:pt>
                <c:pt idx="11">
                  <c:v>0.73278559416519928</c:v>
                </c:pt>
                <c:pt idx="12">
                  <c:v>0.71423250709464814</c:v>
                </c:pt>
                <c:pt idx="13">
                  <c:v>0.69806516448481393</c:v>
                </c:pt>
                <c:pt idx="14">
                  <c:v>0.68389840608547847</c:v>
                </c:pt>
                <c:pt idx="15">
                  <c:v>0.6714232720115072</c:v>
                </c:pt>
                <c:pt idx="16">
                  <c:v>0.66038922692904334</c:v>
                </c:pt>
                <c:pt idx="17">
                  <c:v>0.65059112233195815</c:v>
                </c:pt>
                <c:pt idx="18">
                  <c:v>0.64185948784764113</c:v>
                </c:pt>
                <c:pt idx="19">
                  <c:v>0.63405320170026047</c:v>
                </c:pt>
                <c:pt idx="20">
                  <c:v>0.62705388791672279</c:v>
                </c:pt>
                <c:pt idx="21">
                  <c:v>0.62076158449158059</c:v>
                </c:pt>
                <c:pt idx="22">
                  <c:v>0.61509135912429491</c:v>
                </c:pt>
                <c:pt idx="23">
                  <c:v>0.60997063980158672</c:v>
                </c:pt>
                <c:pt idx="24">
                  <c:v>0.60533709054231388</c:v>
                </c:pt>
                <c:pt idx="25">
                  <c:v>0.6011369070909961</c:v>
                </c:pt>
                <c:pt idx="26">
                  <c:v>0.59732343912646313</c:v>
                </c:pt>
                <c:pt idx="27">
                  <c:v>0.59385606854229334</c:v>
                </c:pt>
                <c:pt idx="28">
                  <c:v>0.59069929017593292</c:v>
                </c:pt>
                <c:pt idx="29">
                  <c:v>0.5878219537996715</c:v>
                </c:pt>
                <c:pt idx="30">
                  <c:v>0.58519663547237077</c:v>
                </c:pt>
                <c:pt idx="31">
                  <c:v>0.5827991133482302</c:v>
                </c:pt>
                <c:pt idx="32">
                  <c:v>0.58060792835749786</c:v>
                </c:pt>
                <c:pt idx="33">
                  <c:v>0.57860401424957186</c:v>
                </c:pt>
                <c:pt idx="34">
                  <c:v>0.57677038463583807</c:v>
                </c:pt>
                <c:pt idx="35">
                  <c:v>0.57509186711700133</c:v>
                </c:pt>
                <c:pt idx="36">
                  <c:v>0.57355487649605297</c:v>
                </c:pt>
                <c:pt idx="37">
                  <c:v>0.57214722058828849</c:v>
                </c:pt>
                <c:pt idx="38">
                  <c:v>0.57085793333726931</c:v>
                </c:pt>
                <c:pt idx="39">
                  <c:v>0.56967713090062022</c:v>
                </c:pt>
                <c:pt idx="40">
                  <c:v>0.56859588713534204</c:v>
                </c:pt>
                <c:pt idx="41">
                  <c:v>0.56760612552963119</c:v>
                </c:pt>
                <c:pt idx="42">
                  <c:v>0.56670052512827562</c:v>
                </c:pt>
                <c:pt idx="43">
                  <c:v>0.56587243840575385</c:v>
                </c:pt>
                <c:pt idx="44">
                  <c:v>0.56511581937399613</c:v>
                </c:pt>
                <c:pt idx="45">
                  <c:v>0.56442516048509395</c:v>
                </c:pt>
                <c:pt idx="46">
                  <c:v>0.56379543711462976</c:v>
                </c:pt>
                <c:pt idx="47">
                  <c:v>0.5632220585979022</c:v>
                </c:pt>
                <c:pt idx="48">
                  <c:v>0.56270082494638829</c:v>
                </c:pt>
                <c:pt idx="49">
                  <c:v>0.56222788850112537</c:v>
                </c:pt>
                <c:pt idx="50">
                  <c:v>0.56179971988795518</c:v>
                </c:pt>
              </c:numCache>
            </c:numRef>
          </c:yVal>
          <c:smooth val="1"/>
        </c:ser>
        <c:dLbls>
          <c:showLegendKey val="0"/>
          <c:showVal val="0"/>
          <c:showCatName val="0"/>
          <c:showSerName val="0"/>
          <c:showPercent val="0"/>
          <c:showBubbleSize val="0"/>
        </c:dLbls>
        <c:axId val="128083840"/>
        <c:axId val="128090112"/>
      </c:scatterChart>
      <c:valAx>
        <c:axId val="12808384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28090112"/>
        <c:crosses val="autoZero"/>
        <c:crossBetween val="midCat"/>
      </c:valAx>
      <c:valAx>
        <c:axId val="128090112"/>
        <c:scaling>
          <c:orientation val="minMax"/>
        </c:scaling>
        <c:delete val="0"/>
        <c:axPos val="l"/>
        <c:majorGridlines/>
        <c:title>
          <c:tx>
            <c:rich>
              <a:bodyPr rot="-5400000" vert="horz"/>
              <a:lstStyle/>
              <a:p>
                <a:pPr>
                  <a:defRPr/>
                </a:pPr>
                <a:r>
                  <a:rPr lang="en-US"/>
                  <a:t>Primary</a:t>
                </a:r>
                <a:r>
                  <a:rPr lang="en-US" baseline="0"/>
                  <a:t> Peak Current (A)</a:t>
                </a:r>
                <a:endParaRPr lang="en-US"/>
              </a:p>
            </c:rich>
          </c:tx>
          <c:overlay val="0"/>
        </c:title>
        <c:numFmt formatCode="General" sourceLinked="0"/>
        <c:majorTickMark val="out"/>
        <c:minorTickMark val="none"/>
        <c:tickLblPos val="nextTo"/>
        <c:crossAx val="128083840"/>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Flyback_CCM_Calc!$W$4:$W$54</c:f>
              <c:numCache>
                <c:formatCode>0.000</c:formatCode>
                <c:ptCount val="51"/>
                <c:pt idx="0">
                  <c:v>1.3390825797136774</c:v>
                </c:pt>
                <c:pt idx="1">
                  <c:v>1.1480476037887639</c:v>
                </c:pt>
                <c:pt idx="2">
                  <c:v>1.0075348184463357</c:v>
                </c:pt>
                <c:pt idx="3">
                  <c:v>0.89984395635040137</c:v>
                </c:pt>
                <c:pt idx="4">
                  <c:v>0.814682885087194</c:v>
                </c:pt>
                <c:pt idx="5">
                  <c:v>0.74565842934476623</c:v>
                </c:pt>
                <c:pt idx="6">
                  <c:v>0.68858931891739128</c:v>
                </c:pt>
                <c:pt idx="7">
                  <c:v>0.64062537093951566</c:v>
                </c:pt>
                <c:pt idx="8">
                  <c:v>0.59975656158630986</c:v>
                </c:pt>
                <c:pt idx="9">
                  <c:v>0.56452447604742073</c:v>
                </c:pt>
                <c:pt idx="10">
                  <c:v>0.53384506184618019</c:v>
                </c:pt>
                <c:pt idx="11">
                  <c:v>0.50689562125781218</c:v>
                </c:pt>
                <c:pt idx="12">
                  <c:v>0.48304042648210199</c:v>
                </c:pt>
                <c:pt idx="13">
                  <c:v>0.46178038601865612</c:v>
                </c:pt>
                <c:pt idx="14">
                  <c:v>0.44271815220845928</c:v>
                </c:pt>
                <c:pt idx="15">
                  <c:v>0.42553341113107013</c:v>
                </c:pt>
                <c:pt idx="16">
                  <c:v>0.40996504797050698</c:v>
                </c:pt>
                <c:pt idx="17">
                  <c:v>0.39579805398487972</c:v>
                </c:pt>
                <c:pt idx="18">
                  <c:v>0.3828537660149714</c:v>
                </c:pt>
                <c:pt idx="19">
                  <c:v>0.37098248858898303</c:v>
                </c:pt>
                <c:pt idx="20">
                  <c:v>0.36005784609254754</c:v>
                </c:pt>
                <c:pt idx="21">
                  <c:v>0.34997240907491078</c:v>
                </c:pt>
                <c:pt idx="22">
                  <c:v>0.34063427114176142</c:v>
                </c:pt>
                <c:pt idx="23">
                  <c:v>0.33196434353538867</c:v>
                </c:pt>
                <c:pt idx="24">
                  <c:v>0.32389419754446497</c:v>
                </c:pt>
                <c:pt idx="25">
                  <c:v>0.31636432935564773</c:v>
                </c:pt>
                <c:pt idx="26">
                  <c:v>0.30932275374373219</c:v>
                </c:pt>
                <c:pt idx="27">
                  <c:v>0.30272385599346502</c:v>
                </c:pt>
                <c:pt idx="28">
                  <c:v>0.29652744827384386</c:v>
                </c:pt>
                <c:pt idx="29">
                  <c:v>0.29069798913024991</c:v>
                </c:pt>
                <c:pt idx="30">
                  <c:v>0.28520393405412714</c:v>
                </c:pt>
                <c:pt idx="31">
                  <c:v>0.28001719209603826</c:v>
                </c:pt>
                <c:pt idx="32">
                  <c:v>0.2751126688152114</c:v>
                </c:pt>
                <c:pt idx="33">
                  <c:v>0.27046787994264715</c:v>
                </c:pt>
                <c:pt idx="34">
                  <c:v>0.26606262328986796</c:v>
                </c:pt>
                <c:pt idx="35">
                  <c:v>0.26187869889052345</c:v>
                </c:pt>
                <c:pt idx="36">
                  <c:v>0.25789966928577435</c:v>
                </c:pt>
                <c:pt idx="37">
                  <c:v>0.25411065338151595</c:v>
                </c:pt>
                <c:pt idx="38">
                  <c:v>0.25049814850944596</c:v>
                </c:pt>
                <c:pt idx="39">
                  <c:v>0.24704987628497541</c:v>
                </c:pt>
                <c:pt idx="40">
                  <c:v>0.24375464862637972</c:v>
                </c:pt>
                <c:pt idx="41">
                  <c:v>0.24060225092208218</c:v>
                </c:pt>
                <c:pt idx="42">
                  <c:v>0.23758333983784805</c:v>
                </c:pt>
                <c:pt idx="43">
                  <c:v>0.23468935366717208</c:v>
                </c:pt>
                <c:pt idx="44">
                  <c:v>0.23191243346506871</c:v>
                </c:pt>
                <c:pt idx="45">
                  <c:v>0.22924535348258393</c:v>
                </c:pt>
                <c:pt idx="46">
                  <c:v>0.22668145964821462</c:v>
                </c:pt>
                <c:pt idx="47">
                  <c:v>0.22421461503222187</c:v>
                </c:pt>
                <c:pt idx="48">
                  <c:v>0.22183915138783597</c:v>
                </c:pt>
                <c:pt idx="49">
                  <c:v>0.21954982599539855</c:v>
                </c:pt>
                <c:pt idx="50">
                  <c:v>0.21734178314622327</c:v>
                </c:pt>
              </c:numCache>
            </c:numRef>
          </c:yVal>
          <c:smooth val="1"/>
        </c:ser>
        <c:dLbls>
          <c:showLegendKey val="0"/>
          <c:showVal val="0"/>
          <c:showCatName val="0"/>
          <c:showSerName val="0"/>
          <c:showPercent val="0"/>
          <c:showBubbleSize val="0"/>
        </c:dLbls>
        <c:axId val="128188800"/>
        <c:axId val="128190720"/>
      </c:scatterChart>
      <c:valAx>
        <c:axId val="12818880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28190720"/>
        <c:crosses val="autoZero"/>
        <c:crossBetween val="midCat"/>
      </c:valAx>
      <c:valAx>
        <c:axId val="128190720"/>
        <c:scaling>
          <c:orientation val="minMax"/>
        </c:scaling>
        <c:delete val="0"/>
        <c:axPos val="l"/>
        <c:majorGridlines/>
        <c:title>
          <c:tx>
            <c:rich>
              <a:bodyPr rot="-5400000" vert="horz"/>
              <a:lstStyle/>
              <a:p>
                <a:pPr>
                  <a:defRPr/>
                </a:pPr>
                <a:r>
                  <a:rPr lang="en-US"/>
                  <a:t>Primary RMS </a:t>
                </a:r>
                <a:r>
                  <a:rPr lang="en-US" baseline="0"/>
                  <a:t>Current (A)</a:t>
                </a:r>
                <a:endParaRPr lang="en-US"/>
              </a:p>
            </c:rich>
          </c:tx>
          <c:overlay val="0"/>
        </c:title>
        <c:numFmt formatCode="General" sourceLinked="0"/>
        <c:majorTickMark val="out"/>
        <c:minorTickMark val="none"/>
        <c:tickLblPos val="nextTo"/>
        <c:crossAx val="128188800"/>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Isolated Voltage Loop {VIN MIN,</a:t>
            </a:r>
            <a:r>
              <a:rPr lang="en-US" baseline="0"/>
              <a:t>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Flyback_CCM_Calc!$DS$4:$DS$59</c:f>
              <c:numCache>
                <c:formatCode>##0.000E+0</c:formatCode>
                <c:ptCount val="56"/>
                <c:pt idx="0">
                  <c:v>76.326492440787405</c:v>
                </c:pt>
                <c:pt idx="1">
                  <c:v>70.294032591137352</c:v>
                </c:pt>
                <c:pt idx="2">
                  <c:v>66.752542536846519</c:v>
                </c:pt>
                <c:pt idx="3">
                  <c:v>64.226448141640375</c:v>
                </c:pt>
                <c:pt idx="4">
                  <c:v>62.253478977461015</c:v>
                </c:pt>
                <c:pt idx="5">
                  <c:v>60.627892457158538</c:v>
                </c:pt>
                <c:pt idx="6">
                  <c:v>59.240104586535935</c:v>
                </c:pt>
                <c:pt idx="7">
                  <c:v>58.024864950389436</c:v>
                </c:pt>
                <c:pt idx="8">
                  <c:v>56.940240193629997</c:v>
                </c:pt>
                <c:pt idx="9">
                  <c:v>55.957743887070592</c:v>
                </c:pt>
                <c:pt idx="10">
                  <c:v>49.040928125814922</c:v>
                </c:pt>
                <c:pt idx="11">
                  <c:v>44.480321245352314</c:v>
                </c:pt>
                <c:pt idx="12">
                  <c:v>41.028102083728982</c:v>
                </c:pt>
                <c:pt idx="13">
                  <c:v>38.29459515295504</c:v>
                </c:pt>
                <c:pt idx="14">
                  <c:v>36.073198214269766</c:v>
                </c:pt>
                <c:pt idx="15">
                  <c:v>34.22989699965926</c:v>
                </c:pt>
                <c:pt idx="16">
                  <c:v>32.671850853360134</c:v>
                </c:pt>
                <c:pt idx="17">
                  <c:v>31.332998256471903</c:v>
                </c:pt>
                <c:pt idx="18">
                  <c:v>30.165517415270219</c:v>
                </c:pt>
                <c:pt idx="19">
                  <c:v>23.137927495121751</c:v>
                </c:pt>
                <c:pt idx="20">
                  <c:v>19.394233802365001</c:v>
                </c:pt>
                <c:pt idx="21">
                  <c:v>16.826755738745618</c:v>
                </c:pt>
                <c:pt idx="22">
                  <c:v>14.870608603310847</c:v>
                </c:pt>
                <c:pt idx="23">
                  <c:v>13.292472289932824</c:v>
                </c:pt>
                <c:pt idx="24">
                  <c:v>11.972716481268897</c:v>
                </c:pt>
                <c:pt idx="25">
                  <c:v>10.841531826850451</c:v>
                </c:pt>
                <c:pt idx="26">
                  <c:v>9.8544973572235044</c:v>
                </c:pt>
                <c:pt idx="27">
                  <c:v>8.9815282416659219</c:v>
                </c:pt>
                <c:pt idx="28">
                  <c:v>3.6173078652785229</c:v>
                </c:pt>
                <c:pt idx="29">
                  <c:v>1.0036574303772259</c:v>
                </c:pt>
                <c:pt idx="30">
                  <c:v>-0.50434929751802926</c:v>
                </c:pt>
                <c:pt idx="31">
                  <c:v>-1.468119392349454</c:v>
                </c:pt>
                <c:pt idx="32">
                  <c:v>-2.1411042559631337</c:v>
                </c:pt>
                <c:pt idx="33">
                  <c:v>-2.6508453178823839</c:v>
                </c:pt>
                <c:pt idx="34">
                  <c:v>-3.0656895395208963</c:v>
                </c:pt>
                <c:pt idx="35">
                  <c:v>-3.4239694489798076</c:v>
                </c:pt>
                <c:pt idx="36">
                  <c:v>-3.7479385727666159</c:v>
                </c:pt>
                <c:pt idx="37">
                  <c:v>-6.4995823264505876</c:v>
                </c:pt>
                <c:pt idx="38">
                  <c:v>-8.951565457690414</c:v>
                </c:pt>
                <c:pt idx="39">
                  <c:v>-11.048145925526303</c:v>
                </c:pt>
                <c:pt idx="40">
                  <c:v>-12.811638160628824</c:v>
                </c:pt>
                <c:pt idx="41">
                  <c:v>-14.309054740539619</c:v>
                </c:pt>
                <c:pt idx="42">
                  <c:v>-15.600744993282561</c:v>
                </c:pt>
                <c:pt idx="43">
                  <c:v>-16.73241427600308</c:v>
                </c:pt>
                <c:pt idx="44">
                  <c:v>-17.737497577428993</c:v>
                </c:pt>
                <c:pt idx="45">
                  <c:v>-18.640549729671665</c:v>
                </c:pt>
                <c:pt idx="46">
                  <c:v>-24.627370949647297</c:v>
                </c:pt>
                <c:pt idx="47">
                  <c:v>-28.143871445251833</c:v>
                </c:pt>
                <c:pt idx="48">
                  <c:v>-30.6408588531825</c:v>
                </c:pt>
                <c:pt idx="49">
                  <c:v>-32.578245560812107</c:v>
                </c:pt>
                <c:pt idx="50">
                  <c:v>-34.161432227040677</c:v>
                </c:pt>
                <c:pt idx="51">
                  <c:v>-35.500105022291862</c:v>
                </c:pt>
                <c:pt idx="52">
                  <c:v>-36.659773773696998</c:v>
                </c:pt>
                <c:pt idx="53">
                  <c:v>-37.682707773342884</c:v>
                </c:pt>
                <c:pt idx="54">
                  <c:v>-38.597774404539571</c:v>
                </c:pt>
                <c:pt idx="55">
                  <c:v>-44.618109007945407</c:v>
                </c:pt>
              </c:numCache>
            </c:numRef>
          </c:yVal>
          <c:smooth val="1"/>
        </c:ser>
        <c:dLbls>
          <c:showLegendKey val="0"/>
          <c:showVal val="0"/>
          <c:showCatName val="0"/>
          <c:showSerName val="0"/>
          <c:showPercent val="0"/>
          <c:showBubbleSize val="0"/>
        </c:dLbls>
        <c:axId val="128238336"/>
        <c:axId val="128240256"/>
      </c:scatterChart>
      <c:scatterChart>
        <c:scatterStyle val="smoothMarker"/>
        <c:varyColors val="0"/>
        <c:ser>
          <c:idx val="1"/>
          <c:order val="1"/>
          <c:tx>
            <c:v>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Flyback_CCM_Calc!$DT$4:$DT$59</c:f>
              <c:numCache>
                <c:formatCode>General</c:formatCode>
                <c:ptCount val="56"/>
                <c:pt idx="0">
                  <c:v>88.871166272431154</c:v>
                </c:pt>
                <c:pt idx="1">
                  <c:v>87.746221721469468</c:v>
                </c:pt>
                <c:pt idx="2">
                  <c:v>86.629001092672922</c:v>
                </c:pt>
                <c:pt idx="3">
                  <c:v>85.523232065356609</c:v>
                </c:pt>
                <c:pt idx="4">
                  <c:v>84.432486100444237</c:v>
                </c:pt>
                <c:pt idx="5">
                  <c:v>83.360134251654102</c:v>
                </c:pt>
                <c:pt idx="6">
                  <c:v>82.309309134602515</c:v>
                </c:pt>
                <c:pt idx="7">
                  <c:v>81.282873909663252</c:v>
                </c:pt>
                <c:pt idx="8">
                  <c:v>80.283398771470743</c:v>
                </c:pt>
                <c:pt idx="9">
                  <c:v>79.313145079178653</c:v>
                </c:pt>
                <c:pt idx="10">
                  <c:v>71.495802039410663</c:v>
                </c:pt>
                <c:pt idx="11">
                  <c:v>67.087647223537815</c:v>
                </c:pt>
                <c:pt idx="12">
                  <c:v>65.195603531652253</c:v>
                </c:pt>
                <c:pt idx="13">
                  <c:v>64.819647311466539</c:v>
                </c:pt>
                <c:pt idx="14">
                  <c:v>65.260851664977125</c:v>
                </c:pt>
                <c:pt idx="15">
                  <c:v>66.098799213851763</c:v>
                </c:pt>
                <c:pt idx="16">
                  <c:v>67.096579323404896</c:v>
                </c:pt>
                <c:pt idx="17">
                  <c:v>68.126177901995533</c:v>
                </c:pt>
                <c:pt idx="18">
                  <c:v>69.121546204238271</c:v>
                </c:pt>
                <c:pt idx="19">
                  <c:v>75.187141243557107</c:v>
                </c:pt>
                <c:pt idx="20">
                  <c:v>76.949605469839824</c:v>
                </c:pt>
                <c:pt idx="21">
                  <c:v>77.098150863575839</c:v>
                </c:pt>
                <c:pt idx="22">
                  <c:v>76.534052784425441</c:v>
                </c:pt>
                <c:pt idx="23">
                  <c:v>75.602763235828832</c:v>
                </c:pt>
                <c:pt idx="24">
                  <c:v>74.46211448884047</c:v>
                </c:pt>
                <c:pt idx="25">
                  <c:v>73.194214041406653</c:v>
                </c:pt>
                <c:pt idx="26">
                  <c:v>71.846116994205033</c:v>
                </c:pt>
                <c:pt idx="27">
                  <c:v>70.446881864962293</c:v>
                </c:pt>
                <c:pt idx="28">
                  <c:v>56.033829902810716</c:v>
                </c:pt>
                <c:pt idx="29">
                  <c:v>43.071187214666999</c:v>
                </c:pt>
                <c:pt idx="30">
                  <c:v>32.124119356184174</c:v>
                </c:pt>
                <c:pt idx="31">
                  <c:v>22.941459026115989</c:v>
                </c:pt>
                <c:pt idx="32">
                  <c:v>15.15558662371739</c:v>
                </c:pt>
                <c:pt idx="33">
                  <c:v>8.4478474746344023</c:v>
                </c:pt>
                <c:pt idx="34">
                  <c:v>2.575996530946012</c:v>
                </c:pt>
                <c:pt idx="35">
                  <c:v>-2.6366015635691866</c:v>
                </c:pt>
                <c:pt idx="36">
                  <c:v>-7.3178192332772962</c:v>
                </c:pt>
                <c:pt idx="37">
                  <c:v>-37.653468945307829</c:v>
                </c:pt>
                <c:pt idx="38">
                  <c:v>-53.142513173822792</c:v>
                </c:pt>
                <c:pt idx="39">
                  <c:v>-62.050121839535898</c:v>
                </c:pt>
                <c:pt idx="40">
                  <c:v>-67.640009113128457</c:v>
                </c:pt>
                <c:pt idx="41">
                  <c:v>-71.412974194259419</c:v>
                </c:pt>
                <c:pt idx="42">
                  <c:v>-74.111190908920037</c:v>
                </c:pt>
                <c:pt idx="43">
                  <c:v>-76.129922001222994</c:v>
                </c:pt>
                <c:pt idx="44">
                  <c:v>-77.694755942900841</c:v>
                </c:pt>
                <c:pt idx="45">
                  <c:v>-78.942438545923451</c:v>
                </c:pt>
                <c:pt idx="46">
                  <c:v>-84.50465091980908</c:v>
                </c:pt>
                <c:pt idx="47">
                  <c:v>-86.34130671611041</c:v>
                </c:pt>
                <c:pt idx="48">
                  <c:v>-87.257304332700883</c:v>
                </c:pt>
                <c:pt idx="49">
                  <c:v>-87.806340314904133</c:v>
                </c:pt>
                <c:pt idx="50">
                  <c:v>-88.172176617904015</c:v>
                </c:pt>
                <c:pt idx="51">
                  <c:v>-88.433411654284328</c:v>
                </c:pt>
                <c:pt idx="52">
                  <c:v>-88.629302025252215</c:v>
                </c:pt>
                <c:pt idx="53">
                  <c:v>-88.781642586839752</c:v>
                </c:pt>
                <c:pt idx="54">
                  <c:v>-88.903504612337628</c:v>
                </c:pt>
                <c:pt idx="55">
                  <c:v>-89.451794402483543</c:v>
                </c:pt>
              </c:numCache>
            </c:numRef>
          </c:yVal>
          <c:smooth val="1"/>
        </c:ser>
        <c:dLbls>
          <c:showLegendKey val="0"/>
          <c:showVal val="0"/>
          <c:showCatName val="0"/>
          <c:showSerName val="0"/>
          <c:showPercent val="0"/>
          <c:showBubbleSize val="0"/>
        </c:dLbls>
        <c:axId val="128252544"/>
        <c:axId val="128250624"/>
      </c:scatterChart>
      <c:valAx>
        <c:axId val="128238336"/>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28240256"/>
        <c:crosses val="autoZero"/>
        <c:crossBetween val="midCat"/>
      </c:valAx>
      <c:valAx>
        <c:axId val="128240256"/>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8238336"/>
        <c:crosses val="autoZero"/>
        <c:crossBetween val="midCat"/>
        <c:majorUnit val="20"/>
      </c:valAx>
      <c:valAx>
        <c:axId val="12825062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8252544"/>
        <c:crosses val="max"/>
        <c:crossBetween val="midCat"/>
        <c:majorUnit val="90"/>
      </c:valAx>
      <c:valAx>
        <c:axId val="128252544"/>
        <c:scaling>
          <c:logBase val="10"/>
          <c:orientation val="minMax"/>
        </c:scaling>
        <c:delete val="1"/>
        <c:axPos val="b"/>
        <c:majorGridlines/>
        <c:minorGridlines/>
        <c:numFmt formatCode="##0.000E+0" sourceLinked="1"/>
        <c:majorTickMark val="out"/>
        <c:minorTickMark val="none"/>
        <c:tickLblPos val="nextTo"/>
        <c:crossAx val="128250624"/>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Non-Isolated Voltage Loop {VIN MIN,</a:t>
            </a:r>
            <a:r>
              <a:rPr lang="en-US" sz="1600" baseline="0"/>
              <a:t> FULL LOAD}</a:t>
            </a:r>
            <a:endParaRPr lang="en-US" sz="1600"/>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Flyback_CCM_Calc!$DM$4:$DM$59</c:f>
              <c:numCache>
                <c:formatCode>##0.000E+0</c:formatCode>
                <c:ptCount val="56"/>
                <c:pt idx="0">
                  <c:v>76.039920650711721</c:v>
                </c:pt>
                <c:pt idx="1">
                  <c:v>70.007629319491045</c:v>
                </c:pt>
                <c:pt idx="2">
                  <c:v>66.466419686164642</c:v>
                </c:pt>
                <c:pt idx="3">
                  <c:v>63.940716952580459</c:v>
                </c:pt>
                <c:pt idx="4">
                  <c:v>61.968249769520057</c:v>
                </c:pt>
                <c:pt idx="5">
                  <c:v>60.343274374785693</c:v>
                </c:pt>
                <c:pt idx="6">
                  <c:v>58.956205352080744</c:v>
                </c:pt>
                <c:pt idx="7">
                  <c:v>57.741790625252349</c:v>
                </c:pt>
                <c:pt idx="8">
                  <c:v>56.658094948893577</c:v>
                </c:pt>
                <c:pt idx="9">
                  <c:v>55.676629784790464</c:v>
                </c:pt>
                <c:pt idx="10">
                  <c:v>48.775144386853242</c:v>
                </c:pt>
                <c:pt idx="11">
                  <c:v>44.236659945881271</c:v>
                </c:pt>
                <c:pt idx="12">
                  <c:v>40.809834213216305</c:v>
                </c:pt>
                <c:pt idx="13">
                  <c:v>38.102069314439809</c:v>
                </c:pt>
                <c:pt idx="14">
                  <c:v>35.904871983238593</c:v>
                </c:pt>
                <c:pt idx="15">
                  <c:v>34.083281909012456</c:v>
                </c:pt>
                <c:pt idx="16">
                  <c:v>32.54416895946563</c:v>
                </c:pt>
                <c:pt idx="17">
                  <c:v>31.22155846089759</c:v>
                </c:pt>
                <c:pt idx="18">
                  <c:v>30.067892896425043</c:v>
                </c:pt>
                <c:pt idx="19">
                  <c:v>23.104037861366329</c:v>
                </c:pt>
                <c:pt idx="20">
                  <c:v>19.377192505143878</c:v>
                </c:pt>
                <c:pt idx="21">
                  <c:v>16.816170577690546</c:v>
                </c:pt>
                <c:pt idx="22">
                  <c:v>14.8631351731526</c:v>
                </c:pt>
                <c:pt idx="23">
                  <c:v>13.28673763423239</c:v>
                </c:pt>
                <c:pt idx="24">
                  <c:v>11.968060542975277</c:v>
                </c:pt>
                <c:pt idx="25">
                  <c:v>10.837600935033207</c:v>
                </c:pt>
                <c:pt idx="26">
                  <c:v>9.8510867169065737</c:v>
                </c:pt>
                <c:pt idx="27">
                  <c:v>8.978512333176349</c:v>
                </c:pt>
                <c:pt idx="28">
                  <c:v>3.616313118552311</c:v>
                </c:pt>
                <c:pt idx="29">
                  <c:v>1.0044217139670018</c:v>
                </c:pt>
                <c:pt idx="30">
                  <c:v>-0.50136918170410816</c:v>
                </c:pt>
                <c:pt idx="31">
                  <c:v>-1.462409420212353</c:v>
                </c:pt>
                <c:pt idx="32">
                  <c:v>-2.1321702048239928</c:v>
                </c:pt>
                <c:pt idx="33">
                  <c:v>-2.6382336832019515</c:v>
                </c:pt>
                <c:pt idx="34">
                  <c:v>-3.048996304853155</c:v>
                </c:pt>
                <c:pt idx="35">
                  <c:v>-3.4028442938665648</c:v>
                </c:pt>
                <c:pt idx="36">
                  <c:v>-3.7220864841501768</c:v>
                </c:pt>
                <c:pt idx="37">
                  <c:v>-6.4208937370937598</c:v>
                </c:pt>
                <c:pt idx="38">
                  <c:v>-8.8290300669980368</c:v>
                </c:pt>
                <c:pt idx="39">
                  <c:v>-10.896340960295117</c:v>
                </c:pt>
                <c:pt idx="40">
                  <c:v>-12.641053965058724</c:v>
                </c:pt>
                <c:pt idx="41">
                  <c:v>-14.126209147705206</c:v>
                </c:pt>
                <c:pt idx="42">
                  <c:v>-15.409625848804634</c:v>
                </c:pt>
                <c:pt idx="43">
                  <c:v>-16.535516780515238</c:v>
                </c:pt>
                <c:pt idx="44">
                  <c:v>-17.536434332682621</c:v>
                </c:pt>
                <c:pt idx="45">
                  <c:v>-18.436397998113481</c:v>
                </c:pt>
                <c:pt idx="46">
                  <c:v>-24.412681071574855</c:v>
                </c:pt>
                <c:pt idx="47">
                  <c:v>-27.927110614650353</c:v>
                </c:pt>
                <c:pt idx="48">
                  <c:v>-30.423363799586319</c:v>
                </c:pt>
                <c:pt idx="49">
                  <c:v>-32.360408994622581</c:v>
                </c:pt>
                <c:pt idx="50">
                  <c:v>-33.943409701734609</c:v>
                </c:pt>
                <c:pt idx="51">
                  <c:v>-35.281970217286926</c:v>
                </c:pt>
                <c:pt idx="52">
                  <c:v>-36.441566033463467</c:v>
                </c:pt>
                <c:pt idx="53">
                  <c:v>-37.464450001005964</c:v>
                </c:pt>
                <c:pt idx="54">
                  <c:v>-38.379480830574735</c:v>
                </c:pt>
                <c:pt idx="55">
                  <c:v>-44.399700884795294</c:v>
                </c:pt>
              </c:numCache>
            </c:numRef>
          </c:yVal>
          <c:smooth val="1"/>
        </c:ser>
        <c:dLbls>
          <c:showLegendKey val="0"/>
          <c:showVal val="0"/>
          <c:showCatName val="0"/>
          <c:showSerName val="0"/>
          <c:showPercent val="0"/>
          <c:showBubbleSize val="0"/>
        </c:dLbls>
        <c:axId val="128279296"/>
        <c:axId val="128281216"/>
      </c:scatterChart>
      <c:scatterChart>
        <c:scatterStyle val="smoothMarker"/>
        <c:varyColors val="0"/>
        <c:ser>
          <c:idx val="1"/>
          <c:order val="1"/>
          <c:tx>
            <c:v>Non 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Flyback_CCM_Calc!$DN$4:$DN$59</c:f>
              <c:numCache>
                <c:formatCode>##0.000E+0</c:formatCode>
                <c:ptCount val="56"/>
                <c:pt idx="0">
                  <c:v>88.897608820567285</c:v>
                </c:pt>
                <c:pt idx="1">
                  <c:v>87.799075571253837</c:v>
                </c:pt>
                <c:pt idx="2">
                  <c:v>86.708203874386768</c:v>
                </c:pt>
                <c:pt idx="3">
                  <c:v>85.628690531544407</c:v>
                </c:pt>
                <c:pt idx="4">
                  <c:v>84.564076491619417</c:v>
                </c:pt>
                <c:pt idx="5">
                  <c:v>83.517702779213721</c:v>
                </c:pt>
                <c:pt idx="6">
                  <c:v>82.492672577013579</c:v>
                </c:pt>
                <c:pt idx="7">
                  <c:v>81.491820317103347</c:v>
                </c:pt>
                <c:pt idx="8">
                  <c:v>80.517688273291796</c:v>
                </c:pt>
                <c:pt idx="9">
                  <c:v>79.572510787823902</c:v>
                </c:pt>
                <c:pt idx="10">
                  <c:v>71.986108560373751</c:v>
                </c:pt>
                <c:pt idx="11">
                  <c:v>67.761580808145212</c:v>
                </c:pt>
                <c:pt idx="12">
                  <c:v>66.000020120385415</c:v>
                </c:pt>
                <c:pt idx="13">
                  <c:v>65.705854437851983</c:v>
                </c:pt>
                <c:pt idx="14">
                  <c:v>66.189707474494639</c:v>
                </c:pt>
                <c:pt idx="15">
                  <c:v>67.041591176873638</c:v>
                </c:pt>
                <c:pt idx="16">
                  <c:v>68.033662121777894</c:v>
                </c:pt>
                <c:pt idx="17">
                  <c:v>69.044906651307272</c:v>
                </c:pt>
                <c:pt idx="18">
                  <c:v>70.014309479969185</c:v>
                </c:pt>
                <c:pt idx="19">
                  <c:v>75.791400667502884</c:v>
                </c:pt>
                <c:pt idx="20">
                  <c:v>77.387986354094139</c:v>
                </c:pt>
                <c:pt idx="21">
                  <c:v>77.444143484936902</c:v>
                </c:pt>
                <c:pt idx="22">
                  <c:v>76.823670236649747</c:v>
                </c:pt>
                <c:pt idx="23">
                  <c:v>75.855553432660173</c:v>
                </c:pt>
                <c:pt idx="24">
                  <c:v>74.689724371522374</c:v>
                </c:pt>
                <c:pt idx="25">
                  <c:v>73.404101234096714</c:v>
                </c:pt>
                <c:pt idx="26">
                  <c:v>72.043329337380186</c:v>
                </c:pt>
                <c:pt idx="27">
                  <c:v>70.634988460210849</c:v>
                </c:pt>
                <c:pt idx="28">
                  <c:v>56.210324344318629</c:v>
                </c:pt>
                <c:pt idx="29">
                  <c:v>43.279162418499894</c:v>
                </c:pt>
                <c:pt idx="30">
                  <c:v>32.373300745286123</c:v>
                </c:pt>
                <c:pt idx="31">
                  <c:v>23.234527126000874</c:v>
                </c:pt>
                <c:pt idx="32">
                  <c:v>15.492650047805443</c:v>
                </c:pt>
                <c:pt idx="33">
                  <c:v>8.8277643917262658</c:v>
                </c:pt>
                <c:pt idx="34">
                  <c:v>2.9969080071422733</c:v>
                </c:pt>
                <c:pt idx="35">
                  <c:v>-2.1770012464153523</c:v>
                </c:pt>
                <c:pt idx="36">
                  <c:v>-6.822119070564213</c:v>
                </c:pt>
                <c:pt idx="37">
                  <c:v>-36.946749579696636</c:v>
                </c:pt>
                <c:pt idx="38">
                  <c:v>-52.417450429150563</c:v>
                </c:pt>
                <c:pt idx="39">
                  <c:v>-61.379192584731719</c:v>
                </c:pt>
                <c:pt idx="40">
                  <c:v>-67.03800978232529</c:v>
                </c:pt>
                <c:pt idx="41">
                  <c:v>-70.875801516045883</c:v>
                </c:pt>
                <c:pt idx="42">
                  <c:v>-73.63022103874323</c:v>
                </c:pt>
                <c:pt idx="43">
                  <c:v>-75.69652340609322</c:v>
                </c:pt>
                <c:pt idx="44">
                  <c:v>-77.301470427475181</c:v>
                </c:pt>
                <c:pt idx="45">
                  <c:v>-78.583115242132877</c:v>
                </c:pt>
                <c:pt idx="46">
                  <c:v>-84.315834025626842</c:v>
                </c:pt>
                <c:pt idx="47">
                  <c:v>-86.214229322107542</c:v>
                </c:pt>
                <c:pt idx="48">
                  <c:v>-87.161677348539669</c:v>
                </c:pt>
                <c:pt idx="49">
                  <c:v>-87.729720047957102</c:v>
                </c:pt>
                <c:pt idx="50">
                  <c:v>-88.108272542960933</c:v>
                </c:pt>
                <c:pt idx="51">
                  <c:v>-88.378608862529674</c:v>
                </c:pt>
                <c:pt idx="52">
                  <c:v>-88.581333741305627</c:v>
                </c:pt>
                <c:pt idx="53">
                  <c:v>-88.738994452914355</c:v>
                </c:pt>
                <c:pt idx="54">
                  <c:v>-88.865115071058682</c:v>
                </c:pt>
                <c:pt idx="55">
                  <c:v>-89.432589680041644</c:v>
                </c:pt>
              </c:numCache>
            </c:numRef>
          </c:yVal>
          <c:smooth val="1"/>
        </c:ser>
        <c:dLbls>
          <c:showLegendKey val="0"/>
          <c:showVal val="0"/>
          <c:showCatName val="0"/>
          <c:showSerName val="0"/>
          <c:showPercent val="0"/>
          <c:showBubbleSize val="0"/>
        </c:dLbls>
        <c:axId val="128301696"/>
        <c:axId val="128299776"/>
      </c:scatterChart>
      <c:valAx>
        <c:axId val="128279296"/>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28281216"/>
        <c:crosses val="autoZero"/>
        <c:crossBetween val="midCat"/>
      </c:valAx>
      <c:valAx>
        <c:axId val="128281216"/>
        <c:scaling>
          <c:orientation val="minMax"/>
          <c:max val="100"/>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8279296"/>
        <c:crosses val="autoZero"/>
        <c:crossBetween val="midCat"/>
        <c:majorUnit val="20"/>
      </c:valAx>
      <c:valAx>
        <c:axId val="12829977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0"/>
        <c:majorTickMark val="out"/>
        <c:minorTickMark val="none"/>
        <c:tickLblPos val="nextTo"/>
        <c:crossAx val="128301696"/>
        <c:crosses val="max"/>
        <c:crossBetween val="midCat"/>
        <c:majorUnit val="45"/>
      </c:valAx>
      <c:valAx>
        <c:axId val="128301696"/>
        <c:scaling>
          <c:logBase val="10"/>
          <c:orientation val="minMax"/>
        </c:scaling>
        <c:delete val="1"/>
        <c:axPos val="b"/>
        <c:majorGridlines/>
        <c:minorGridlines/>
        <c:numFmt formatCode="##0.000E+0" sourceLinked="1"/>
        <c:majorTickMark val="out"/>
        <c:minorTickMark val="none"/>
        <c:tickLblPos val="nextTo"/>
        <c:crossAx val="128299776"/>
        <c:crosses val="autoZero"/>
        <c:crossBetween val="midCat"/>
      </c:valAx>
    </c:plotArea>
    <c:legend>
      <c:legendPos val="r"/>
      <c:layout>
        <c:manualLayout>
          <c:xMode val="edge"/>
          <c:yMode val="edge"/>
          <c:x val="9.942689959453993E-2"/>
          <c:y val="0.55401309013588496"/>
          <c:w val="0.23488681960119823"/>
          <c:h val="0.27985381574138674"/>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Power Efficiency 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Flyback_CCM_Calc!$CV$4:$CV$54</c:f>
              <c:numCache>
                <c:formatCode>##0.0E+0</c:formatCode>
                <c:ptCount val="51"/>
                <c:pt idx="0">
                  <c:v>0.91443412821613501</c:v>
                </c:pt>
                <c:pt idx="1">
                  <c:v>0.92340302485829928</c:v>
                </c:pt>
                <c:pt idx="2">
                  <c:v>0.92917974063237363</c:v>
                </c:pt>
                <c:pt idx="3">
                  <c:v>0.93310874910578145</c:v>
                </c:pt>
                <c:pt idx="4">
                  <c:v>0.9358948724359315</c:v>
                </c:pt>
                <c:pt idx="5">
                  <c:v>0.93793607748078622</c:v>
                </c:pt>
                <c:pt idx="6">
                  <c:v>0.93947080240951286</c:v>
                </c:pt>
                <c:pt idx="7">
                  <c:v>0.94064899079133268</c:v>
                </c:pt>
                <c:pt idx="8">
                  <c:v>0.94156880554122713</c:v>
                </c:pt>
                <c:pt idx="9">
                  <c:v>0.94229672871273074</c:v>
                </c:pt>
                <c:pt idx="10">
                  <c:v>0.94287911141110947</c:v>
                </c:pt>
                <c:pt idx="11">
                  <c:v>0.94334909038270465</c:v>
                </c:pt>
                <c:pt idx="12">
                  <c:v>0.9437308800845019</c:v>
                </c:pt>
                <c:pt idx="13">
                  <c:v>0.94404252002755917</c:v>
                </c:pt>
                <c:pt idx="14">
                  <c:v>0.94429768195701413</c:v>
                </c:pt>
                <c:pt idx="15">
                  <c:v>0.94450688766917612</c:v>
                </c:pt>
                <c:pt idx="16">
                  <c:v>0.94467834755199398</c:v>
                </c:pt>
                <c:pt idx="17">
                  <c:v>0.94481854925383812</c:v>
                </c:pt>
                <c:pt idx="18">
                  <c:v>0.94493267822376015</c:v>
                </c:pt>
                <c:pt idx="19">
                  <c:v>0.94502492294584506</c:v>
                </c:pt>
                <c:pt idx="20">
                  <c:v>0.94509869971176674</c:v>
                </c:pt>
                <c:pt idx="21">
                  <c:v>0.94515682035111459</c:v>
                </c:pt>
                <c:pt idx="22">
                  <c:v>0.94520161893242294</c:v>
                </c:pt>
                <c:pt idx="23">
                  <c:v>0.94523504855723006</c:v>
                </c:pt>
                <c:pt idx="24">
                  <c:v>0.94525875608535381</c:v>
                </c:pt>
                <c:pt idx="25">
                  <c:v>0.94527414038970781</c:v>
                </c:pt>
                <c:pt idx="26">
                  <c:v>0.94528239818923121</c:v>
                </c:pt>
                <c:pt idx="27">
                  <c:v>0.94528456042185904</c:v>
                </c:pt>
                <c:pt idx="28">
                  <c:v>0.94528152134805887</c:v>
                </c:pt>
                <c:pt idx="29">
                  <c:v>0.9452740620214668</c:v>
                </c:pt>
                <c:pt idx="30">
                  <c:v>0.94526286936101811</c:v>
                </c:pt>
                <c:pt idx="31">
                  <c:v>0.94524855176410549</c:v>
                </c:pt>
                <c:pt idx="32">
                  <c:v>0.94523165198204739</c:v>
                </c:pt>
                <c:pt idx="33">
                  <c:v>0.94521265781620456</c:v>
                </c:pt>
                <c:pt idx="34">
                  <c:v>0.94519201107042028</c:v>
                </c:pt>
                <c:pt idx="35">
                  <c:v>0.94517011510243321</c:v>
                </c:pt>
                <c:pt idx="36">
                  <c:v>0.94514734124588196</c:v>
                </c:pt>
                <c:pt idx="37">
                  <c:v>0.94512403431994374</c:v>
                </c:pt>
                <c:pt idx="38">
                  <c:v>0.94510051740149958</c:v>
                </c:pt>
                <c:pt idx="39">
                  <c:v>0.94507709600203404</c:v>
                </c:pt>
                <c:pt idx="40">
                  <c:v>0.94505406176605344</c:v>
                </c:pt>
                <c:pt idx="41">
                  <c:v>0.94503169578801838</c:v>
                </c:pt>
                <c:pt idx="42">
                  <c:v>0.94501027162941376</c:v>
                </c:pt>
                <c:pt idx="43">
                  <c:v>0.94499005810570502</c:v>
                </c:pt>
                <c:pt idx="44">
                  <c:v>0.94497132190387612</c:v>
                </c:pt>
                <c:pt idx="45">
                  <c:v>0.9449543300844967</c:v>
                </c:pt>
                <c:pt idx="46">
                  <c:v>0.9449393525174582</c:v>
                </c:pt>
                <c:pt idx="47">
                  <c:v>0.94492666429738015</c:v>
                </c:pt>
                <c:pt idx="48">
                  <c:v>0.94491654818304449</c:v>
                </c:pt>
                <c:pt idx="49">
                  <c:v>0.94490929710496285</c:v>
                </c:pt>
                <c:pt idx="50">
                  <c:v>0.94490521678628203</c:v>
                </c:pt>
              </c:numCache>
            </c:numRef>
          </c:yVal>
          <c:smooth val="1"/>
        </c:ser>
        <c:dLbls>
          <c:showLegendKey val="0"/>
          <c:showVal val="0"/>
          <c:showCatName val="0"/>
          <c:showSerName val="0"/>
          <c:showPercent val="0"/>
          <c:showBubbleSize val="0"/>
        </c:dLbls>
        <c:axId val="128653952"/>
        <c:axId val="128660224"/>
      </c:scatterChart>
      <c:valAx>
        <c:axId val="128653952"/>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8660224"/>
        <c:crosses val="autoZero"/>
        <c:crossBetween val="midCat"/>
      </c:valAx>
      <c:valAx>
        <c:axId val="128660224"/>
        <c:scaling>
          <c:orientation val="minMax"/>
        </c:scaling>
        <c:delete val="0"/>
        <c:axPos val="l"/>
        <c:majorGridlines/>
        <c:title>
          <c:tx>
            <c:rich>
              <a:bodyPr rot="-5400000" vert="horz"/>
              <a:lstStyle/>
              <a:p>
                <a:pPr>
                  <a:defRPr/>
                </a:pPr>
                <a:r>
                  <a:rPr lang="en-US"/>
                  <a:t>Efficiency</a:t>
                </a:r>
                <a:r>
                  <a:rPr lang="en-US" baseline="0"/>
                  <a:t> (%)</a:t>
                </a:r>
                <a:endParaRPr lang="en-US"/>
              </a:p>
            </c:rich>
          </c:tx>
          <c:overlay val="0"/>
        </c:title>
        <c:numFmt formatCode="0.0%" sourceLinked="0"/>
        <c:majorTickMark val="out"/>
        <c:minorTickMark val="none"/>
        <c:tickLblPos val="nextTo"/>
        <c:crossAx val="128653952"/>
        <c:crosses val="autoZero"/>
        <c:crossBetween val="midCat"/>
      </c:valAx>
    </c:plotArea>
    <c:legend>
      <c:legendPos val="r"/>
      <c:layout>
        <c:manualLayout>
          <c:xMode val="edge"/>
          <c:yMode val="edge"/>
          <c:x val="0.17491666666666675"/>
          <c:y val="0.19256954188322781"/>
          <c:w val="0.13669444444444445"/>
          <c:h val="8.1592375289468846E-2"/>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a:t>
            </a:r>
            <a:r>
              <a:rPr lang="en-US" baseline="0"/>
              <a:t>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Transformer</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Flyback_CCM_Calc!$BY$4:$BY$54</c:f>
              <c:numCache>
                <c:formatCode>##0.0E+0</c:formatCode>
                <c:ptCount val="51"/>
                <c:pt idx="0">
                  <c:v>0.11187500000000002</c:v>
                </c:pt>
                <c:pt idx="1">
                  <c:v>8.1051422005170959E-2</c:v>
                </c:pt>
                <c:pt idx="2">
                  <c:v>6.163440743944637E-2</c:v>
                </c:pt>
                <c:pt idx="3">
                  <c:v>4.8618654073199534E-2</c:v>
                </c:pt>
                <c:pt idx="4">
                  <c:v>3.9470997836668471E-2</c:v>
                </c:pt>
                <c:pt idx="5">
                  <c:v>3.2797783933518003E-2</c:v>
                </c:pt>
                <c:pt idx="6">
                  <c:v>2.778083394970414E-2</c:v>
                </c:pt>
                <c:pt idx="7">
                  <c:v>2.3914167123502233E-2</c:v>
                </c:pt>
                <c:pt idx="8">
                  <c:v>2.0871237570545549E-2</c:v>
                </c:pt>
                <c:pt idx="9">
                  <c:v>1.8433657712254529E-2</c:v>
                </c:pt>
                <c:pt idx="10">
                  <c:v>1.6450892857142858E-2</c:v>
                </c:pt>
                <c:pt idx="11">
                  <c:v>1.4816449709472546E-2</c:v>
                </c:pt>
                <c:pt idx="12">
                  <c:v>1.3453272712706297E-2</c:v>
                </c:pt>
                <c:pt idx="13">
                  <c:v>1.2304492810785616E-2</c:v>
                </c:pt>
                <c:pt idx="14">
                  <c:v>1.1327398631198348E-2</c:v>
                </c:pt>
                <c:pt idx="15">
                  <c:v>1.0489408327246163E-2</c:v>
                </c:pt>
                <c:pt idx="16">
                  <c:v>9.7653177808481231E-3</c:v>
                </c:pt>
                <c:pt idx="17">
                  <c:v>9.1353830473925608E-3</c:v>
                </c:pt>
                <c:pt idx="18">
                  <c:v>8.5839600391598419E-3</c:v>
                </c:pt>
                <c:pt idx="19">
                  <c:v>8.0985237812493584E-3</c:v>
                </c:pt>
                <c:pt idx="20">
                  <c:v>7.6689508506616252E-3</c:v>
                </c:pt>
                <c:pt idx="21">
                  <c:v>7.2869872726317817E-3</c:v>
                </c:pt>
                <c:pt idx="22">
                  <c:v>6.945849050468262E-3</c:v>
                </c:pt>
                <c:pt idx="23">
                  <c:v>6.6399188481279046E-3</c:v>
                </c:pt>
                <c:pt idx="24">
                  <c:v>6.3645132568262769E-3</c:v>
                </c:pt>
                <c:pt idx="25">
                  <c:v>6.1157024793388436E-3</c:v>
                </c:pt>
                <c:pt idx="26">
                  <c:v>5.8901693612378502E-3</c:v>
                </c:pt>
                <c:pt idx="27">
                  <c:v>5.685098253910937E-3</c:v>
                </c:pt>
                <c:pt idx="28">
                  <c:v>5.49808670672339E-3</c:v>
                </c:pt>
                <c:pt idx="29">
                  <c:v>5.3270747821052306E-3</c:v>
                </c:pt>
                <c:pt idx="30">
                  <c:v>5.1702880859374988E-3</c:v>
                </c:pt>
                <c:pt idx="31">
                  <c:v>5.0261915540322057E-3</c:v>
                </c:pt>
                <c:pt idx="32">
                  <c:v>4.8934517348832324E-3</c:v>
                </c:pt>
                <c:pt idx="33">
                  <c:v>4.7709058292984743E-3</c:v>
                </c:pt>
                <c:pt idx="34">
                  <c:v>4.6575361381138748E-3</c:v>
                </c:pt>
                <c:pt idx="35">
                  <c:v>4.5524488647025706E-3</c:v>
                </c:pt>
                <c:pt idx="36">
                  <c:v>4.4548564442792194E-3</c:v>
                </c:pt>
                <c:pt idx="37">
                  <c:v>4.3640627449911037E-3</c:v>
                </c:pt>
                <c:pt idx="38">
                  <c:v>4.2794506195335275E-3</c:v>
                </c:pt>
                <c:pt idx="39">
                  <c:v>4.200471390103295E-3</c:v>
                </c:pt>
                <c:pt idx="40">
                  <c:v>4.1266359309934568E-3</c:v>
                </c:pt>
                <c:pt idx="41">
                  <c:v>4.0575070773121594E-3</c:v>
                </c:pt>
                <c:pt idx="42">
                  <c:v>3.9926931391387893E-3</c:v>
                </c:pt>
                <c:pt idx="43">
                  <c:v>3.9318423409034978E-3</c:v>
                </c:pt>
                <c:pt idx="44">
                  <c:v>3.8746380381668643E-3</c:v>
                </c:pt>
                <c:pt idx="45">
                  <c:v>3.8207945900253591E-3</c:v>
                </c:pt>
                <c:pt idx="46">
                  <c:v>3.7700537864149824E-3</c:v>
                </c:pt>
                <c:pt idx="47">
                  <c:v>3.7221817466667265E-3</c:v>
                </c:pt>
                <c:pt idx="48">
                  <c:v>3.676966219589883E-3</c:v>
                </c:pt>
                <c:pt idx="49">
                  <c:v>3.6342142267536638E-3</c:v>
                </c:pt>
                <c:pt idx="50">
                  <c:v>3.5937500000000002E-3</c:v>
                </c:pt>
              </c:numCache>
            </c:numRef>
          </c:yVal>
          <c:smooth val="1"/>
        </c:ser>
        <c:ser>
          <c:idx val="1"/>
          <c:order val="1"/>
          <c:tx>
            <c:v>MOSFET</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Flyback_CCM_Calc!$CC$4:$CC$54</c:f>
              <c:numCache>
                <c:formatCode>##0.0E+0</c:formatCode>
                <c:ptCount val="51"/>
                <c:pt idx="0">
                  <c:v>0.14545073529411767</c:v>
                </c:pt>
                <c:pt idx="1">
                  <c:v>0.14467083769876812</c:v>
                </c:pt>
                <c:pt idx="2">
                  <c:v>0.14451015354671282</c:v>
                </c:pt>
                <c:pt idx="3">
                  <c:v>0.14469696643120059</c:v>
                </c:pt>
                <c:pt idx="4">
                  <c:v>0.14509376173130151</c:v>
                </c:pt>
                <c:pt idx="5">
                  <c:v>0.14562488390092879</c:v>
                </c:pt>
                <c:pt idx="6">
                  <c:v>0.14624591754046293</c:v>
                </c:pt>
                <c:pt idx="7">
                  <c:v>0.14692939512283887</c:v>
                </c:pt>
                <c:pt idx="8">
                  <c:v>0.1476575898714767</c:v>
                </c:pt>
                <c:pt idx="9">
                  <c:v>0.14841864646068206</c:v>
                </c:pt>
                <c:pt idx="10">
                  <c:v>0.1492043930072029</c:v>
                </c:pt>
                <c:pt idx="11">
                  <c:v>0.15000904844641338</c:v>
                </c:pt>
                <c:pt idx="12">
                  <c:v>0.15082842976238725</c:v>
                </c:pt>
                <c:pt idx="13">
                  <c:v>0.15165944977779561</c:v>
                </c:pt>
                <c:pt idx="14">
                  <c:v>0.15249978987527346</c:v>
                </c:pt>
                <c:pt idx="15">
                  <c:v>0.15334768132600007</c:v>
                </c:pt>
                <c:pt idx="16">
                  <c:v>0.15420175590642252</c:v>
                </c:pt>
                <c:pt idx="17">
                  <c:v>0.15506094180240468</c:v>
                </c:pt>
                <c:pt idx="18">
                  <c:v>0.15592438976347037</c:v>
                </c:pt>
                <c:pt idx="19">
                  <c:v>0.15679141986241069</c:v>
                </c:pt>
                <c:pt idx="20">
                  <c:v>0.15766148254197709</c:v>
                </c:pt>
                <c:pt idx="21">
                  <c:v>0.15853412972925379</c:v>
                </c:pt>
                <c:pt idx="22">
                  <c:v>0.15940899315013468</c:v>
                </c:pt>
                <c:pt idx="23">
                  <c:v>0.16028576786352022</c:v>
                </c:pt>
                <c:pt idx="24">
                  <c:v>0.16116419962721934</c:v>
                </c:pt>
                <c:pt idx="25">
                  <c:v>0.1620440751093826</c:v>
                </c:pt>
                <c:pt idx="26">
                  <c:v>0.16292521423591258</c:v>
                </c:pt>
                <c:pt idx="27">
                  <c:v>0.16380746415731318</c:v>
                </c:pt>
                <c:pt idx="28">
                  <c:v>0.16469069445483558</c:v>
                </c:pt>
                <c:pt idx="29">
                  <c:v>0.1655747933032975</c:v>
                </c:pt>
                <c:pt idx="30">
                  <c:v>0.1664596643784467</c:v>
                </c:pt>
                <c:pt idx="31">
                  <c:v>0.16734522434822729</c:v>
                </c:pt>
                <c:pt idx="32">
                  <c:v>0.16823140082527183</c:v>
                </c:pt>
                <c:pt idx="33">
                  <c:v>0.16911813068619552</c:v>
                </c:pt>
                <c:pt idx="34">
                  <c:v>0.17000535868447242</c:v>
                </c:pt>
                <c:pt idx="35">
                  <c:v>0.17089303629971414</c:v>
                </c:pt>
                <c:pt idx="36">
                  <c:v>0.17178112077840374</c:v>
                </c:pt>
                <c:pt idx="37">
                  <c:v>0.17266957433052643</c:v>
                </c:pt>
                <c:pt idx="38">
                  <c:v>0.17355836345379988</c:v>
                </c:pt>
                <c:pt idx="39">
                  <c:v>0.17444745836285772</c:v>
                </c:pt>
                <c:pt idx="40">
                  <c:v>0.17533683250516149</c:v>
                </c:pt>
                <c:pt idx="41">
                  <c:v>0.17622646214890281</c:v>
                </c:pt>
                <c:pt idx="42">
                  <c:v>0.17711632603091462</c:v>
                </c:pt>
                <c:pt idx="43">
                  <c:v>0.17800640505480872</c:v>
                </c:pt>
                <c:pt idx="44">
                  <c:v>0.17889668203131562</c:v>
                </c:pt>
                <c:pt idx="45">
                  <c:v>0.17978714145421484</c:v>
                </c:pt>
                <c:pt idx="46">
                  <c:v>0.18067776930638862</c:v>
                </c:pt>
                <c:pt idx="47">
                  <c:v>0.18156855289145774</c:v>
                </c:pt>
                <c:pt idx="48">
                  <c:v>0.18245948068721474</c:v>
                </c:pt>
                <c:pt idx="49">
                  <c:v>0.18335054221768765</c:v>
                </c:pt>
                <c:pt idx="50">
                  <c:v>0.18424172794117646</c:v>
                </c:pt>
              </c:numCache>
            </c:numRef>
          </c:yVal>
          <c:smooth val="1"/>
        </c:ser>
        <c:ser>
          <c:idx val="2"/>
          <c:order val="2"/>
          <c:tx>
            <c:v>Diode</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Flyback_CCM_Calc!$CR$4:$CR$54</c:f>
              <c:numCache>
                <c:formatCode>##0.0E+0</c:formatCode>
                <c:ptCount val="51"/>
                <c:pt idx="0">
                  <c:v>0.24</c:v>
                </c:pt>
                <c:pt idx="1">
                  <c:v>0.24</c:v>
                </c:pt>
                <c:pt idx="2">
                  <c:v>0.24</c:v>
                </c:pt>
                <c:pt idx="3">
                  <c:v>0.24</c:v>
                </c:pt>
                <c:pt idx="4">
                  <c:v>0.24</c:v>
                </c:pt>
                <c:pt idx="5">
                  <c:v>0.24</c:v>
                </c:pt>
                <c:pt idx="6">
                  <c:v>0.24</c:v>
                </c:pt>
                <c:pt idx="7">
                  <c:v>0.24</c:v>
                </c:pt>
                <c:pt idx="8">
                  <c:v>0.24</c:v>
                </c:pt>
                <c:pt idx="9">
                  <c:v>0.24</c:v>
                </c:pt>
                <c:pt idx="10">
                  <c:v>0.24</c:v>
                </c:pt>
                <c:pt idx="11">
                  <c:v>0.24</c:v>
                </c:pt>
                <c:pt idx="12">
                  <c:v>0.24</c:v>
                </c:pt>
                <c:pt idx="13">
                  <c:v>0.24</c:v>
                </c:pt>
                <c:pt idx="14">
                  <c:v>0.24</c:v>
                </c:pt>
                <c:pt idx="15">
                  <c:v>0.24</c:v>
                </c:pt>
                <c:pt idx="16">
                  <c:v>0.24</c:v>
                </c:pt>
                <c:pt idx="17">
                  <c:v>0.24</c:v>
                </c:pt>
                <c:pt idx="18">
                  <c:v>0.24</c:v>
                </c:pt>
                <c:pt idx="19">
                  <c:v>0.24</c:v>
                </c:pt>
                <c:pt idx="20">
                  <c:v>0.24</c:v>
                </c:pt>
                <c:pt idx="21">
                  <c:v>0.24</c:v>
                </c:pt>
                <c:pt idx="22">
                  <c:v>0.24</c:v>
                </c:pt>
                <c:pt idx="23">
                  <c:v>0.24</c:v>
                </c:pt>
                <c:pt idx="24">
                  <c:v>0.24</c:v>
                </c:pt>
                <c:pt idx="25">
                  <c:v>0.24</c:v>
                </c:pt>
                <c:pt idx="26">
                  <c:v>0.24</c:v>
                </c:pt>
                <c:pt idx="27">
                  <c:v>0.24</c:v>
                </c:pt>
                <c:pt idx="28">
                  <c:v>0.24</c:v>
                </c:pt>
                <c:pt idx="29">
                  <c:v>0.24</c:v>
                </c:pt>
                <c:pt idx="30">
                  <c:v>0.24</c:v>
                </c:pt>
                <c:pt idx="31">
                  <c:v>0.24</c:v>
                </c:pt>
                <c:pt idx="32">
                  <c:v>0.24</c:v>
                </c:pt>
                <c:pt idx="33">
                  <c:v>0.24</c:v>
                </c:pt>
                <c:pt idx="34">
                  <c:v>0.24</c:v>
                </c:pt>
                <c:pt idx="35">
                  <c:v>0.24</c:v>
                </c:pt>
                <c:pt idx="36">
                  <c:v>0.24</c:v>
                </c:pt>
                <c:pt idx="37">
                  <c:v>0.24</c:v>
                </c:pt>
                <c:pt idx="38">
                  <c:v>0.24</c:v>
                </c:pt>
                <c:pt idx="39">
                  <c:v>0.24</c:v>
                </c:pt>
                <c:pt idx="40">
                  <c:v>0.24</c:v>
                </c:pt>
                <c:pt idx="41">
                  <c:v>0.24</c:v>
                </c:pt>
                <c:pt idx="42">
                  <c:v>0.24</c:v>
                </c:pt>
                <c:pt idx="43">
                  <c:v>0.24</c:v>
                </c:pt>
                <c:pt idx="44">
                  <c:v>0.24</c:v>
                </c:pt>
                <c:pt idx="45">
                  <c:v>0.24</c:v>
                </c:pt>
                <c:pt idx="46">
                  <c:v>0.24</c:v>
                </c:pt>
                <c:pt idx="47">
                  <c:v>0.24</c:v>
                </c:pt>
                <c:pt idx="48">
                  <c:v>0.24</c:v>
                </c:pt>
                <c:pt idx="49">
                  <c:v>0.24</c:v>
                </c:pt>
                <c:pt idx="50">
                  <c:v>0.24</c:v>
                </c:pt>
              </c:numCache>
            </c:numRef>
          </c:yVal>
          <c:smooth val="1"/>
        </c:ser>
        <c:ser>
          <c:idx val="3"/>
          <c:order val="3"/>
          <c:tx>
            <c:v>Clamp</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Flyback_CCM_Calc!$CS$4:$CS$54</c:f>
              <c:numCache>
                <c:formatCode>##0.0E+0</c:formatCode>
                <c:ptCount val="51"/>
                <c:pt idx="0">
                  <c:v>0.20446788611291794</c:v>
                </c:pt>
                <c:pt idx="1">
                  <c:v>0.15640837892041629</c:v>
                </c:pt>
                <c:pt idx="2">
                  <c:v>0.12549074489740558</c:v>
                </c:pt>
                <c:pt idx="3">
                  <c:v>0.10433273204551977</c:v>
                </c:pt>
                <c:pt idx="4">
                  <c:v>8.9155820478725056E-2</c:v>
                </c:pt>
                <c:pt idx="5">
                  <c:v>7.7857867769152406E-2</c:v>
                </c:pt>
                <c:pt idx="6">
                  <c:v>6.9191014047978519E-2</c:v>
                </c:pt>
                <c:pt idx="7">
                  <c:v>6.23750064468888E-2</c:v>
                </c:pt>
                <c:pt idx="8">
                  <c:v>5.6900736347417422E-2</c:v>
                </c:pt>
                <c:pt idx="9">
                  <c:v>5.2423974166404839E-2</c:v>
                </c:pt>
                <c:pt idx="10">
                  <c:v>4.8704832237673294E-2</c:v>
                </c:pt>
                <c:pt idx="11">
                  <c:v>4.5571737036598267E-2</c:v>
                </c:pt>
                <c:pt idx="12">
                  <c:v>4.289917108967542E-2</c:v>
                </c:pt>
                <c:pt idx="13">
                  <c:v>4.0593469699431679E-2</c:v>
                </c:pt>
                <c:pt idx="14">
                  <c:v>3.8583497556624248E-2</c:v>
                </c:pt>
                <c:pt idx="15">
                  <c:v>3.6814373999137097E-2</c:v>
                </c:pt>
                <c:pt idx="16">
                  <c:v>3.5243155313144925E-2</c:v>
                </c:pt>
                <c:pt idx="17">
                  <c:v>3.3835804095022133E-2</c:v>
                </c:pt>
                <c:pt idx="18">
                  <c:v>3.2565023612866624E-2</c:v>
                </c:pt>
                <c:pt idx="19">
                  <c:v>3.1408684990275298E-2</c:v>
                </c:pt>
                <c:pt idx="20">
                  <c:v>3.0348667940720865E-2</c:v>
                </c:pt>
                <c:pt idx="21">
                  <c:v>2.9369994684573599E-2</c:v>
                </c:pt>
                <c:pt idx="22">
                  <c:v>2.8460174801828653E-2</c:v>
                </c:pt>
                <c:pt idx="23">
                  <c:v>2.760870391183461E-2</c:v>
                </c:pt>
                <c:pt idx="24">
                  <c:v>2.6806675935960117E-2</c:v>
                </c:pt>
                <c:pt idx="25">
                  <c:v>2.6046480193785131E-2</c:v>
                </c:pt>
                <c:pt idx="26">
                  <c:v>2.532156253332607E-2</c:v>
                </c:pt>
                <c:pt idx="27">
                  <c:v>2.4626235269043343E-2</c:v>
                </c:pt>
                <c:pt idx="28">
                  <c:v>2.3955524657839934E-2</c:v>
                </c:pt>
                <c:pt idx="29">
                  <c:v>2.3305047484950013E-2</c:v>
                </c:pt>
                <c:pt idx="30">
                  <c:v>2.2670910394932773E-2</c:v>
                </c:pt>
                <c:pt idx="31">
                  <c:v>2.2049627116366904E-2</c:v>
                </c:pt>
                <c:pt idx="32">
                  <c:v>2.1438049849345057E-2</c:v>
                </c:pt>
                <c:pt idx="33">
                  <c:v>2.0833311921745572E-2</c:v>
                </c:pt>
                <c:pt idx="34">
                  <c:v>2.0232779450333586E-2</c:v>
                </c:pt>
                <c:pt idx="35">
                  <c:v>1.9634010220585901E-2</c:v>
                </c:pt>
                <c:pt idx="36">
                  <c:v>1.90347183638798E-2</c:v>
                </c:pt>
                <c:pt idx="37">
                  <c:v>1.8432743690646701E-2</c:v>
                </c:pt>
                <c:pt idx="38">
                  <c:v>1.7826024753912227E-2</c:v>
                </c:pt>
                <c:pt idx="39">
                  <c:v>1.7212574884491835E-2</c:v>
                </c:pt>
                <c:pt idx="40">
                  <c:v>1.6590460568186628E-2</c:v>
                </c:pt>
                <c:pt idx="41">
                  <c:v>1.595778163495061E-2</c:v>
                </c:pt>
                <c:pt idx="42">
                  <c:v>1.5312652806363141E-2</c:v>
                </c:pt>
                <c:pt idx="43">
                  <c:v>1.4653186205446816E-2</c:v>
                </c:pt>
                <c:pt idx="44">
                  <c:v>1.3977474475323454E-2</c:v>
                </c:pt>
                <c:pt idx="45">
                  <c:v>1.3283574182883061E-2</c:v>
                </c:pt>
                <c:pt idx="46">
                  <c:v>1.2569489202308937E-2</c:v>
                </c:pt>
                <c:pt idx="47">
                  <c:v>1.1833153782126965E-2</c:v>
                </c:pt>
                <c:pt idx="48">
                  <c:v>1.1072414999101053E-2</c:v>
                </c:pt>
                <c:pt idx="49">
                  <c:v>1.0285014293015211E-2</c:v>
                </c:pt>
                <c:pt idx="50">
                  <c:v>9.4685677579855465E-3</c:v>
                </c:pt>
              </c:numCache>
            </c:numRef>
          </c:yVal>
          <c:smooth val="1"/>
        </c:ser>
        <c:dLbls>
          <c:showLegendKey val="0"/>
          <c:showVal val="0"/>
          <c:showCatName val="0"/>
          <c:showSerName val="0"/>
          <c:showPercent val="0"/>
          <c:showBubbleSize val="0"/>
        </c:dLbls>
        <c:axId val="128327040"/>
        <c:axId val="128337408"/>
      </c:scatterChart>
      <c:valAx>
        <c:axId val="128327040"/>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8337408"/>
        <c:crosses val="autoZero"/>
        <c:crossBetween val="midCat"/>
      </c:valAx>
      <c:valAx>
        <c:axId val="128337408"/>
        <c:scaling>
          <c:orientation val="minMax"/>
        </c:scaling>
        <c:delete val="0"/>
        <c:axPos val="l"/>
        <c:majorGridlines/>
        <c:title>
          <c:tx>
            <c:rich>
              <a:bodyPr rot="-5400000" vert="horz"/>
              <a:lstStyle/>
              <a:p>
                <a:pPr>
                  <a:defRPr/>
                </a:pPr>
                <a:r>
                  <a:rPr lang="en-US"/>
                  <a:t>Losses </a:t>
                </a:r>
                <a:r>
                  <a:rPr lang="en-US" baseline="0"/>
                  <a:t>(W)</a:t>
                </a:r>
                <a:endParaRPr lang="en-US"/>
              </a:p>
            </c:rich>
          </c:tx>
          <c:overlay val="0"/>
        </c:title>
        <c:numFmt formatCode="##0.0E+0" sourceLinked="0"/>
        <c:majorTickMark val="out"/>
        <c:minorTickMark val="none"/>
        <c:tickLblPos val="nextTo"/>
        <c:crossAx val="128327040"/>
        <c:crosses val="autoZero"/>
        <c:crossBetween val="midCat"/>
      </c:valAx>
    </c:plotArea>
    <c:legend>
      <c:legendPos val="r"/>
      <c:legendEntry>
        <c:idx val="0"/>
        <c:txPr>
          <a:bodyPr/>
          <a:lstStyle/>
          <a:p>
            <a:pPr>
              <a:defRPr sz="900"/>
            </a:pPr>
            <a:endParaRPr lang="en-US"/>
          </a:p>
        </c:txPr>
      </c:legendEntry>
      <c:legendEntry>
        <c:idx val="1"/>
        <c:txPr>
          <a:bodyPr/>
          <a:lstStyle/>
          <a:p>
            <a:pPr>
              <a:defRPr sz="800"/>
            </a:pPr>
            <a:endParaRPr lang="en-US"/>
          </a:p>
        </c:txPr>
      </c:legendEntry>
      <c:legendEntry>
        <c:idx val="2"/>
        <c:txPr>
          <a:bodyPr/>
          <a:lstStyle/>
          <a:p>
            <a:pPr>
              <a:defRPr sz="800"/>
            </a:pPr>
            <a:endParaRPr lang="en-US"/>
          </a:p>
        </c:txPr>
      </c:legendEntry>
      <c:legendEntry>
        <c:idx val="3"/>
        <c:txPr>
          <a:bodyPr/>
          <a:lstStyle/>
          <a:p>
            <a:pPr>
              <a:defRPr sz="800"/>
            </a:pPr>
            <a:endParaRPr lang="en-US"/>
          </a:p>
        </c:txPr>
      </c:legendEntry>
      <c:layout>
        <c:manualLayout>
          <c:xMode val="edge"/>
          <c:yMode val="edge"/>
          <c:x val="0.71936111111111123"/>
          <c:y val="0.18805757614300667"/>
          <c:w val="0.20979199475065616"/>
          <c:h val="0.2451512414740368"/>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a:t>
            </a:r>
            <a:r>
              <a:rPr lang="en-US" baseline="0"/>
              <a:t> Cycle</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'Fly-Buck_Calc'!$Q$4:$Q$54</c:f>
              <c:numCache>
                <c:formatCode>General</c:formatCode>
                <c:ptCount val="51"/>
                <c:pt idx="0">
                  <c:v>2.5</c:v>
                </c:pt>
                <c:pt idx="1">
                  <c:v>2.1186440677966103</c:v>
                </c:pt>
                <c:pt idx="2">
                  <c:v>1.838235294117647</c:v>
                </c:pt>
                <c:pt idx="3">
                  <c:v>1.6233766233766234</c:v>
                </c:pt>
                <c:pt idx="4">
                  <c:v>1.4534883720930232</c:v>
                </c:pt>
                <c:pt idx="5">
                  <c:v>1.3157894736842104</c:v>
                </c:pt>
                <c:pt idx="6">
                  <c:v>1.2019230769230769</c:v>
                </c:pt>
                <c:pt idx="7">
                  <c:v>1.1061946902654867</c:v>
                </c:pt>
                <c:pt idx="8">
                  <c:v>1.0245901639344261</c:v>
                </c:pt>
                <c:pt idx="9">
                  <c:v>0.95419847328244267</c:v>
                </c:pt>
                <c:pt idx="10">
                  <c:v>0.89285714285714279</c:v>
                </c:pt>
                <c:pt idx="11">
                  <c:v>0.83892617449664419</c:v>
                </c:pt>
                <c:pt idx="12">
                  <c:v>0.79113924050632911</c:v>
                </c:pt>
                <c:pt idx="13">
                  <c:v>0.74850299401197606</c:v>
                </c:pt>
                <c:pt idx="14">
                  <c:v>0.71022727272727271</c:v>
                </c:pt>
                <c:pt idx="15">
                  <c:v>0.67567567567567555</c:v>
                </c:pt>
                <c:pt idx="16">
                  <c:v>0.64432989690721643</c:v>
                </c:pt>
                <c:pt idx="17">
                  <c:v>0.61576354679802958</c:v>
                </c:pt>
                <c:pt idx="18">
                  <c:v>0.58962264150943389</c:v>
                </c:pt>
                <c:pt idx="19">
                  <c:v>0.56561085972850667</c:v>
                </c:pt>
                <c:pt idx="20">
                  <c:v>0.54347826086956519</c:v>
                </c:pt>
                <c:pt idx="21">
                  <c:v>0.52301255230125521</c:v>
                </c:pt>
                <c:pt idx="22">
                  <c:v>0.50403225806451613</c:v>
                </c:pt>
                <c:pt idx="23">
                  <c:v>0.48638132295719838</c:v>
                </c:pt>
                <c:pt idx="24">
                  <c:v>0.46992481203007519</c:v>
                </c:pt>
                <c:pt idx="25">
                  <c:v>0.45454545454545453</c:v>
                </c:pt>
                <c:pt idx="26">
                  <c:v>0.44014084507042256</c:v>
                </c:pt>
                <c:pt idx="27">
                  <c:v>0.42662116040955628</c:v>
                </c:pt>
                <c:pt idx="28">
                  <c:v>0.41390728476821192</c:v>
                </c:pt>
                <c:pt idx="29">
                  <c:v>0.40192926045016075</c:v>
                </c:pt>
                <c:pt idx="30">
                  <c:v>0.39062499999999994</c:v>
                </c:pt>
                <c:pt idx="31">
                  <c:v>0.37993920972644374</c:v>
                </c:pt>
                <c:pt idx="32">
                  <c:v>0.36982248520710059</c:v>
                </c:pt>
                <c:pt idx="33">
                  <c:v>0.36023054755043227</c:v>
                </c:pt>
                <c:pt idx="34">
                  <c:v>0.351123595505618</c:v>
                </c:pt>
                <c:pt idx="35">
                  <c:v>0.34246575342465752</c:v>
                </c:pt>
                <c:pt idx="36">
                  <c:v>0.33422459893048129</c:v>
                </c:pt>
                <c:pt idx="37">
                  <c:v>0.32637075718015668</c:v>
                </c:pt>
                <c:pt idx="38">
                  <c:v>0.3188775510204081</c:v>
                </c:pt>
                <c:pt idx="39">
                  <c:v>0.31172069825436405</c:v>
                </c:pt>
                <c:pt idx="40">
                  <c:v>0.3048780487804878</c:v>
                </c:pt>
                <c:pt idx="41">
                  <c:v>0.29832935560859186</c:v>
                </c:pt>
                <c:pt idx="42">
                  <c:v>0.29205607476635514</c:v>
                </c:pt>
                <c:pt idx="43">
                  <c:v>0.28604118993135008</c:v>
                </c:pt>
                <c:pt idx="44">
                  <c:v>0.2802690582959641</c:v>
                </c:pt>
                <c:pt idx="45">
                  <c:v>0.27472527472527469</c:v>
                </c:pt>
                <c:pt idx="46">
                  <c:v>0.2693965517241379</c:v>
                </c:pt>
                <c:pt idx="47">
                  <c:v>0.26427061310782241</c:v>
                </c:pt>
                <c:pt idx="48">
                  <c:v>0.25933609958506221</c:v>
                </c:pt>
                <c:pt idx="49">
                  <c:v>0.25458248472505091</c:v>
                </c:pt>
                <c:pt idx="50">
                  <c:v>0.25</c:v>
                </c:pt>
              </c:numCache>
            </c:numRef>
          </c:yVal>
          <c:smooth val="1"/>
        </c:ser>
        <c:ser>
          <c:idx val="1"/>
          <c:order val="1"/>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'Fly-BB_Calc'!$Q$4:$Q$54</c:f>
              <c:numCache>
                <c:formatCode>General</c:formatCode>
                <c:ptCount val="51"/>
                <c:pt idx="0">
                  <c:v>0.7142857142857143</c:v>
                </c:pt>
                <c:pt idx="1">
                  <c:v>0.67934782608695654</c:v>
                </c:pt>
                <c:pt idx="2">
                  <c:v>0.64766839378238339</c:v>
                </c:pt>
                <c:pt idx="3">
                  <c:v>0.61881188118811881</c:v>
                </c:pt>
                <c:pt idx="4">
                  <c:v>0.59241706161137442</c:v>
                </c:pt>
                <c:pt idx="5">
                  <c:v>0.56818181818181823</c:v>
                </c:pt>
                <c:pt idx="6">
                  <c:v>0.54585152838427942</c:v>
                </c:pt>
                <c:pt idx="7">
                  <c:v>0.52521008403361336</c:v>
                </c:pt>
                <c:pt idx="8">
                  <c:v>0.50607287449392713</c:v>
                </c:pt>
                <c:pt idx="9">
                  <c:v>0.48828125</c:v>
                </c:pt>
                <c:pt idx="10">
                  <c:v>0.47169811320754718</c:v>
                </c:pt>
                <c:pt idx="11">
                  <c:v>0.45620437956204374</c:v>
                </c:pt>
                <c:pt idx="12">
                  <c:v>0.44169611307420492</c:v>
                </c:pt>
                <c:pt idx="13">
                  <c:v>0.42808219178082191</c:v>
                </c:pt>
                <c:pt idx="14">
                  <c:v>0.41528239202657802</c:v>
                </c:pt>
                <c:pt idx="15">
                  <c:v>0.40322580645161288</c:v>
                </c:pt>
                <c:pt idx="16">
                  <c:v>0.39184952978056425</c:v>
                </c:pt>
                <c:pt idx="17">
                  <c:v>0.38109756097560976</c:v>
                </c:pt>
                <c:pt idx="18">
                  <c:v>0.37091988130563802</c:v>
                </c:pt>
                <c:pt idx="19">
                  <c:v>0.36127167630057799</c:v>
                </c:pt>
                <c:pt idx="20">
                  <c:v>0.352112676056338</c:v>
                </c:pt>
                <c:pt idx="21">
                  <c:v>0.34340659340659341</c:v>
                </c:pt>
                <c:pt idx="22">
                  <c:v>0.33512064343163533</c:v>
                </c:pt>
                <c:pt idx="23">
                  <c:v>0.32722513089005234</c:v>
                </c:pt>
                <c:pt idx="24">
                  <c:v>0.31969309462915602</c:v>
                </c:pt>
                <c:pt idx="25">
                  <c:v>0.3125</c:v>
                </c:pt>
                <c:pt idx="26">
                  <c:v>0.30562347188264061</c:v>
                </c:pt>
                <c:pt idx="27">
                  <c:v>0.29904306220095689</c:v>
                </c:pt>
                <c:pt idx="28">
                  <c:v>0.29274004683840749</c:v>
                </c:pt>
                <c:pt idx="29">
                  <c:v>0.28669724770642202</c:v>
                </c:pt>
                <c:pt idx="30">
                  <c:v>0.28089887640449435</c:v>
                </c:pt>
                <c:pt idx="31">
                  <c:v>0.2753303964757709</c:v>
                </c:pt>
                <c:pt idx="32">
                  <c:v>0.26997840172786175</c:v>
                </c:pt>
                <c:pt idx="33">
                  <c:v>0.26483050847457629</c:v>
                </c:pt>
                <c:pt idx="34">
                  <c:v>0.25987525987525989</c:v>
                </c:pt>
                <c:pt idx="35">
                  <c:v>0.25510204081632654</c:v>
                </c:pt>
                <c:pt idx="36">
                  <c:v>0.25050100200400799</c:v>
                </c:pt>
                <c:pt idx="37">
                  <c:v>0.24606299212598426</c:v>
                </c:pt>
                <c:pt idx="38">
                  <c:v>0.24177949709864602</c:v>
                </c:pt>
                <c:pt idx="39">
                  <c:v>0.23764258555133078</c:v>
                </c:pt>
                <c:pt idx="40">
                  <c:v>0.23364485981308411</c:v>
                </c:pt>
                <c:pt idx="41">
                  <c:v>0.22977941176470587</c:v>
                </c:pt>
                <c:pt idx="42">
                  <c:v>0.22603978300180833</c:v>
                </c:pt>
                <c:pt idx="43">
                  <c:v>0.22241992882562278</c:v>
                </c:pt>
                <c:pt idx="44">
                  <c:v>0.2189141856392294</c:v>
                </c:pt>
                <c:pt idx="45">
                  <c:v>0.21551724137931036</c:v>
                </c:pt>
                <c:pt idx="46">
                  <c:v>0.21222410865874361</c:v>
                </c:pt>
                <c:pt idx="47">
                  <c:v>0.20903010033444813</c:v>
                </c:pt>
                <c:pt idx="48">
                  <c:v>0.20593080724876442</c:v>
                </c:pt>
                <c:pt idx="49">
                  <c:v>0.20292207792207792</c:v>
                </c:pt>
                <c:pt idx="50">
                  <c:v>0.2</c:v>
                </c:pt>
              </c:numCache>
            </c:numRef>
          </c:yVal>
          <c:smooth val="1"/>
        </c:ser>
        <c:ser>
          <c:idx val="2"/>
          <c:order val="2"/>
          <c:tx>
            <c:v>Flyback 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Flyback_CCM_Calc!$Q$4:$Q$54</c:f>
              <c:numCache>
                <c:formatCode>0.0000</c:formatCode>
                <c:ptCount val="51"/>
                <c:pt idx="0">
                  <c:v>0.87179487179487181</c:v>
                </c:pt>
                <c:pt idx="1">
                  <c:v>0.85213032581453629</c:v>
                </c:pt>
                <c:pt idx="2">
                  <c:v>0.83333333333333337</c:v>
                </c:pt>
                <c:pt idx="3">
                  <c:v>0.815347721822542</c:v>
                </c:pt>
                <c:pt idx="4">
                  <c:v>0.7981220657276995</c:v>
                </c:pt>
                <c:pt idx="5">
                  <c:v>0.78160919540229878</c:v>
                </c:pt>
                <c:pt idx="6">
                  <c:v>0.76576576576576583</c:v>
                </c:pt>
                <c:pt idx="7">
                  <c:v>0.7505518763796909</c:v>
                </c:pt>
                <c:pt idx="8">
                  <c:v>0.73593073593073599</c:v>
                </c:pt>
                <c:pt idx="9">
                  <c:v>0.72186836518046715</c:v>
                </c:pt>
                <c:pt idx="10">
                  <c:v>0.70833333333333337</c:v>
                </c:pt>
                <c:pt idx="11">
                  <c:v>0.69529652351738236</c:v>
                </c:pt>
                <c:pt idx="12">
                  <c:v>0.68273092369477917</c:v>
                </c:pt>
                <c:pt idx="13">
                  <c:v>0.67061143984220906</c:v>
                </c:pt>
                <c:pt idx="14">
                  <c:v>0.6589147286821706</c:v>
                </c:pt>
                <c:pt idx="15">
                  <c:v>0.64761904761904765</c:v>
                </c:pt>
                <c:pt idx="16">
                  <c:v>0.63670411985018727</c:v>
                </c:pt>
                <c:pt idx="17">
                  <c:v>0.62615101289134434</c:v>
                </c:pt>
                <c:pt idx="18">
                  <c:v>0.61594202898550721</c:v>
                </c:pt>
                <c:pt idx="19">
                  <c:v>0.60606060606060608</c:v>
                </c:pt>
                <c:pt idx="20">
                  <c:v>0.59649122807017541</c:v>
                </c:pt>
                <c:pt idx="21">
                  <c:v>0.58721934369602768</c:v>
                </c:pt>
                <c:pt idx="22">
                  <c:v>0.57823129251700678</c:v>
                </c:pt>
                <c:pt idx="23">
                  <c:v>0.56951423785594635</c:v>
                </c:pt>
                <c:pt idx="24">
                  <c:v>0.56105610561056096</c:v>
                </c:pt>
                <c:pt idx="25">
                  <c:v>0.55284552845528456</c:v>
                </c:pt>
                <c:pt idx="26">
                  <c:v>0.54487179487179493</c:v>
                </c:pt>
                <c:pt idx="27">
                  <c:v>0.53712480252764605</c:v>
                </c:pt>
                <c:pt idx="28">
                  <c:v>0.52959501557632405</c:v>
                </c:pt>
                <c:pt idx="29">
                  <c:v>0.52227342549923195</c:v>
                </c:pt>
                <c:pt idx="30">
                  <c:v>0.51515151515151514</c:v>
                </c:pt>
                <c:pt idx="31">
                  <c:v>0.50822122571001493</c:v>
                </c:pt>
                <c:pt idx="32">
                  <c:v>0.50147492625368728</c:v>
                </c:pt>
                <c:pt idx="33">
                  <c:v>0.49490538573508008</c:v>
                </c:pt>
                <c:pt idx="34">
                  <c:v>0.4885057471264368</c:v>
                </c:pt>
                <c:pt idx="35">
                  <c:v>0.48226950354609927</c:v>
                </c:pt>
                <c:pt idx="36">
                  <c:v>0.47619047619047616</c:v>
                </c:pt>
                <c:pt idx="37">
                  <c:v>0.47026279391424625</c:v>
                </c:pt>
                <c:pt idx="38">
                  <c:v>0.46448087431693996</c:v>
                </c:pt>
                <c:pt idx="39">
                  <c:v>0.45883940620782732</c:v>
                </c:pt>
                <c:pt idx="40">
                  <c:v>0.45333333333333337</c:v>
                </c:pt>
                <c:pt idx="41">
                  <c:v>0.44795783926218707</c:v>
                </c:pt>
                <c:pt idx="42">
                  <c:v>0.44270833333333331</c:v>
                </c:pt>
                <c:pt idx="43">
                  <c:v>0.43758043758043758</c:v>
                </c:pt>
                <c:pt idx="44">
                  <c:v>0.43256997455470736</c:v>
                </c:pt>
                <c:pt idx="45">
                  <c:v>0.42767295597484273</c:v>
                </c:pt>
                <c:pt idx="46">
                  <c:v>0.42288557213930345</c:v>
                </c:pt>
                <c:pt idx="47">
                  <c:v>0.41820418204182036</c:v>
                </c:pt>
                <c:pt idx="48">
                  <c:v>0.41362530413625304</c:v>
                </c:pt>
                <c:pt idx="49">
                  <c:v>0.40914560770156444</c:v>
                </c:pt>
                <c:pt idx="50">
                  <c:v>0.40476190476190482</c:v>
                </c:pt>
              </c:numCache>
            </c:numRef>
          </c:yVal>
          <c:smooth val="1"/>
        </c:ser>
        <c:ser>
          <c:idx val="3"/>
          <c:order val="3"/>
          <c:tx>
            <c:v>Flyback 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Flyback_DCM_Calc!$N$4:$N$54</c:f>
              <c:numCache>
                <c:formatCode>0.0000</c:formatCode>
                <c:ptCount val="51"/>
                <c:pt idx="0">
                  <c:v>2.3078669805688543</c:v>
                </c:pt>
                <c:pt idx="1">
                  <c:v>1.9558194750583509</c:v>
                </c:pt>
                <c:pt idx="2">
                  <c:v>1.6969610151241576</c:v>
                </c:pt>
                <c:pt idx="3">
                  <c:v>1.498614922447308</c:v>
                </c:pt>
                <c:pt idx="4">
                  <c:v>1.341783128237706</c:v>
                </c:pt>
                <c:pt idx="5">
                  <c:v>1.2146668318783442</c:v>
                </c:pt>
                <c:pt idx="6">
                  <c:v>1.1095514329657952</c:v>
                </c:pt>
                <c:pt idx="7">
                  <c:v>1.0211800798977231</c:v>
                </c:pt>
                <c:pt idx="8">
                  <c:v>0.94584712318395658</c:v>
                </c:pt>
                <c:pt idx="9">
                  <c:v>0.88086525975910468</c:v>
                </c:pt>
                <c:pt idx="10">
                  <c:v>0.82423820734601938</c:v>
                </c:pt>
                <c:pt idx="11">
                  <c:v>0.77445200690229998</c:v>
                </c:pt>
                <c:pt idx="12">
                  <c:v>0.73033765207875134</c:v>
                </c:pt>
                <c:pt idx="13">
                  <c:v>0.69097813789486662</c:v>
                </c:pt>
                <c:pt idx="14">
                  <c:v>0.65564402857069715</c:v>
                </c:pt>
                <c:pt idx="15">
                  <c:v>0.62374783258617672</c:v>
                </c:pt>
                <c:pt idx="16">
                  <c:v>0.59481107746619954</c:v>
                </c:pt>
                <c:pt idx="17">
                  <c:v>0.56844014299725476</c:v>
                </c:pt>
                <c:pt idx="18">
                  <c:v>0.54430825013416373</c:v>
                </c:pt>
                <c:pt idx="19">
                  <c:v>0.52214185080743303</c:v>
                </c:pt>
                <c:pt idx="20">
                  <c:v>0.50171021316714215</c:v>
                </c:pt>
                <c:pt idx="21">
                  <c:v>0.48281735995164315</c:v>
                </c:pt>
                <c:pt idx="22">
                  <c:v>0.46529576221146252</c:v>
                </c:pt>
                <c:pt idx="23">
                  <c:v>0.44900135808732566</c:v>
                </c:pt>
                <c:pt idx="24">
                  <c:v>0.43380958281369436</c:v>
                </c:pt>
                <c:pt idx="25">
                  <c:v>0.41961217828524622</c:v>
                </c:pt>
                <c:pt idx="26">
                  <c:v>0.40631460925508001</c:v>
                </c:pt>
                <c:pt idx="27">
                  <c:v>0.39383395572847341</c:v>
                </c:pt>
                <c:pt idx="28">
                  <c:v>0.38209718221338645</c:v>
                </c:pt>
                <c:pt idx="29">
                  <c:v>0.37103970748695408</c:v>
                </c:pt>
                <c:pt idx="30">
                  <c:v>0.3606042157138834</c:v>
                </c:pt>
                <c:pt idx="31">
                  <c:v>0.35073966270043372</c:v>
                </c:pt>
                <c:pt idx="32">
                  <c:v>0.34140044091255239</c:v>
                </c:pt>
                <c:pt idx="33">
                  <c:v>0.33254567443355249</c:v>
                </c:pt>
                <c:pt idx="34">
                  <c:v>0.3241386208664121</c:v>
                </c:pt>
                <c:pt idx="35">
                  <c:v>0.31614616172176085</c:v>
                </c:pt>
                <c:pt idx="36">
                  <c:v>0.30853836638621041</c:v>
                </c:pt>
                <c:pt idx="37">
                  <c:v>0.30128811756773549</c:v>
                </c:pt>
                <c:pt idx="38">
                  <c:v>0.29437078833786401</c:v>
                </c:pt>
                <c:pt idx="39">
                  <c:v>0.28776396266444565</c:v>
                </c:pt>
                <c:pt idx="40">
                  <c:v>0.28144719275229929</c:v>
                </c:pt>
                <c:pt idx="41">
                  <c:v>0.27540178765738116</c:v>
                </c:pt>
                <c:pt idx="42">
                  <c:v>0.26961062857112783</c:v>
                </c:pt>
                <c:pt idx="43">
                  <c:v>0.26405800693007481</c:v>
                </c:pt>
                <c:pt idx="44">
                  <c:v>0.25872948212655317</c:v>
                </c:pt>
                <c:pt idx="45">
                  <c:v>0.25361175610646747</c:v>
                </c:pt>
                <c:pt idx="46">
                  <c:v>0.2486925625612989</c:v>
                </c:pt>
                <c:pt idx="47">
                  <c:v>0.24396056877049199</c:v>
                </c:pt>
                <c:pt idx="48">
                  <c:v>0.23940528844075248</c:v>
                </c:pt>
                <c:pt idx="49">
                  <c:v>0.23501700413124788</c:v>
                </c:pt>
                <c:pt idx="50">
                  <c:v>0.23078669805688543</c:v>
                </c:pt>
              </c:numCache>
            </c:numRef>
          </c:yVal>
          <c:smooth val="1"/>
        </c:ser>
        <c:dLbls>
          <c:showLegendKey val="0"/>
          <c:showVal val="0"/>
          <c:showCatName val="0"/>
          <c:showSerName val="0"/>
          <c:showPercent val="0"/>
          <c:showBubbleSize val="0"/>
        </c:dLbls>
        <c:axId val="116251264"/>
        <c:axId val="116253440"/>
      </c:scatterChart>
      <c:valAx>
        <c:axId val="116251264"/>
        <c:scaling>
          <c:orientation val="minMax"/>
        </c:scaling>
        <c:delete val="0"/>
        <c:axPos val="b"/>
        <c:majorGridlines/>
        <c:title>
          <c:tx>
            <c:rich>
              <a:bodyPr/>
              <a:lstStyle/>
              <a:p>
                <a:pPr>
                  <a:defRPr/>
                </a:pPr>
                <a:r>
                  <a:rPr lang="en-US"/>
                  <a:t>VIN</a:t>
                </a:r>
                <a:r>
                  <a:rPr lang="en-US" baseline="0"/>
                  <a:t> (V}</a:t>
                </a:r>
              </a:p>
            </c:rich>
          </c:tx>
          <c:overlay val="0"/>
        </c:title>
        <c:numFmt formatCode="General" sourceLinked="1"/>
        <c:majorTickMark val="out"/>
        <c:minorTickMark val="none"/>
        <c:tickLblPos val="nextTo"/>
        <c:crossAx val="116253440"/>
        <c:crosses val="autoZero"/>
        <c:crossBetween val="midCat"/>
      </c:valAx>
      <c:valAx>
        <c:axId val="116253440"/>
        <c:scaling>
          <c:orientation val="minMax"/>
        </c:scaling>
        <c:delete val="0"/>
        <c:axPos val="l"/>
        <c:majorGridlines/>
        <c:title>
          <c:tx>
            <c:rich>
              <a:bodyPr rot="-5400000" vert="horz"/>
              <a:lstStyle/>
              <a:p>
                <a:pPr>
                  <a:defRPr/>
                </a:pPr>
                <a:r>
                  <a:rPr lang="en-US"/>
                  <a:t>Duty</a:t>
                </a:r>
                <a:r>
                  <a:rPr lang="en-US" baseline="0"/>
                  <a:t> Cycle (%)</a:t>
                </a:r>
                <a:endParaRPr lang="en-US"/>
              </a:p>
            </c:rich>
          </c:tx>
          <c:overlay val="0"/>
        </c:title>
        <c:numFmt formatCode="General" sourceLinked="1"/>
        <c:majorTickMark val="out"/>
        <c:minorTickMark val="none"/>
        <c:tickLblPos val="nextTo"/>
        <c:crossAx val="1162512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CCM'!$B$137,'Flyback CCM'!$B$140,'Flyback CCM'!$B$143,'Flyback CCM'!$B$146,'Flyback CCM'!$B$149,'Flyback CCM'!$B$152,'Flyback CCM'!$B$155)</c:f>
              <c:numCache>
                <c:formatCode>0.00</c:formatCode>
                <c:ptCount val="7"/>
                <c:pt idx="0">
                  <c:v>29.05982905982906</c:v>
                </c:pt>
                <c:pt idx="1">
                  <c:v>0</c:v>
                </c:pt>
                <c:pt idx="2">
                  <c:v>0</c:v>
                </c:pt>
                <c:pt idx="3">
                  <c:v>0</c:v>
                </c:pt>
                <c:pt idx="4">
                  <c:v>0</c:v>
                </c:pt>
                <c:pt idx="5">
                  <c:v>0</c:v>
                </c:pt>
                <c:pt idx="6">
                  <c:v>0</c:v>
                </c:pt>
              </c:numCache>
            </c:numRef>
          </c:val>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CCM'!$B$138,'Flyback CCM'!$B$141,'Flyback CCM'!$B$144,'Flyback CCM'!$B$147,'Flyback CCM'!$B$150,'Flyback CCM'!$B$153,'Flyback CCM'!$B$156)</c:f>
              <c:numCache>
                <c:formatCode>General</c:formatCode>
                <c:ptCount val="7"/>
                <c:pt idx="0">
                  <c:v>330</c:v>
                </c:pt>
                <c:pt idx="1">
                  <c:v>0</c:v>
                </c:pt>
                <c:pt idx="2">
                  <c:v>0</c:v>
                </c:pt>
                <c:pt idx="3">
                  <c:v>0</c:v>
                </c:pt>
                <c:pt idx="4">
                  <c:v>0</c:v>
                </c:pt>
                <c:pt idx="5">
                  <c:v>0</c:v>
                </c:pt>
                <c:pt idx="6">
                  <c:v>4</c:v>
                </c:pt>
              </c:numCache>
            </c:numRef>
          </c:val>
        </c:ser>
        <c:dLbls>
          <c:showLegendKey val="0"/>
          <c:showVal val="0"/>
          <c:showCatName val="0"/>
          <c:showSerName val="0"/>
          <c:showPercent val="0"/>
          <c:showBubbleSize val="0"/>
        </c:dLbls>
        <c:gapWidth val="150"/>
        <c:axId val="128369408"/>
        <c:axId val="128371328"/>
      </c:barChart>
      <c:catAx>
        <c:axId val="128369408"/>
        <c:scaling>
          <c:orientation val="minMax"/>
        </c:scaling>
        <c:delete val="0"/>
        <c:axPos val="b"/>
        <c:majorGridlines/>
        <c:title>
          <c:tx>
            <c:rich>
              <a:bodyPr/>
              <a:lstStyle/>
              <a:p>
                <a:pPr>
                  <a:defRPr/>
                </a:pPr>
                <a:r>
                  <a:rPr lang="en-US"/>
                  <a:t>Output</a:t>
                </a:r>
              </a:p>
            </c:rich>
          </c:tx>
          <c:overlay val="0"/>
        </c:title>
        <c:majorTickMark val="out"/>
        <c:minorTickMark val="none"/>
        <c:tickLblPos val="nextTo"/>
        <c:crossAx val="128371328"/>
        <c:crosses val="autoZero"/>
        <c:auto val="1"/>
        <c:lblAlgn val="ctr"/>
        <c:lblOffset val="100"/>
        <c:noMultiLvlLbl val="0"/>
      </c:catAx>
      <c:valAx>
        <c:axId val="128371328"/>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0.00" sourceLinked="1"/>
        <c:majorTickMark val="out"/>
        <c:minorTickMark val="none"/>
        <c:tickLblPos val="nextTo"/>
        <c:crossAx val="128369408"/>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CCM'!$B$127,'Flyback CCM'!$B$128,'Flyback CCM'!$B$129,'Flyback CCM'!$B$130,'Flyback CCM'!$B$131,'Flyback CCM'!$B$132,'Flyback CCM'!$B$133)</c:f>
              <c:numCache>
                <c:formatCode>General</c:formatCode>
                <c:ptCount val="7"/>
                <c:pt idx="0">
                  <c:v>37.5</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28457728"/>
        <c:axId val="128463616"/>
      </c:barChart>
      <c:catAx>
        <c:axId val="128457728"/>
        <c:scaling>
          <c:orientation val="minMax"/>
        </c:scaling>
        <c:delete val="0"/>
        <c:axPos val="b"/>
        <c:majorTickMark val="out"/>
        <c:minorTickMark val="none"/>
        <c:tickLblPos val="nextTo"/>
        <c:crossAx val="128463616"/>
        <c:crosses val="autoZero"/>
        <c:auto val="1"/>
        <c:lblAlgn val="ctr"/>
        <c:lblOffset val="100"/>
        <c:noMultiLvlLbl val="0"/>
      </c:catAx>
      <c:valAx>
        <c:axId val="128463616"/>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2845772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0</c:v>
                </c:pt>
                <c:pt idx="1">
                  <c:v>15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28562304"/>
        <c:axId val="128563840"/>
      </c:barChart>
      <c:catAx>
        <c:axId val="128562304"/>
        <c:scaling>
          <c:orientation val="minMax"/>
        </c:scaling>
        <c:delete val="0"/>
        <c:axPos val="b"/>
        <c:majorGridlines/>
        <c:majorTickMark val="out"/>
        <c:minorTickMark val="none"/>
        <c:tickLblPos val="nextTo"/>
        <c:crossAx val="128563840"/>
        <c:crosses val="autoZero"/>
        <c:auto val="1"/>
        <c:lblAlgn val="ctr"/>
        <c:lblOffset val="100"/>
        <c:noMultiLvlLbl val="0"/>
      </c:catAx>
      <c:valAx>
        <c:axId val="128563840"/>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28562304"/>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Modulator Model {VIN Min,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27.165724495184719</c:v>
                </c:pt>
                <c:pt idx="1">
                  <c:v>27.151376275050595</c:v>
                </c:pt>
                <c:pt idx="2">
                  <c:v>27.127567427826705</c:v>
                </c:pt>
                <c:pt idx="3">
                  <c:v>27.094452836125669</c:v>
                </c:pt>
                <c:pt idx="4">
                  <c:v>27.052244653532721</c:v>
                </c:pt>
                <c:pt idx="5">
                  <c:v>27.001207874430992</c:v>
                </c:pt>
                <c:pt idx="6">
                  <c:v>26.941654976470772</c:v>
                </c:pt>
                <c:pt idx="7">
                  <c:v>26.873939854606114</c:v>
                </c:pt>
                <c:pt idx="8">
                  <c:v>26.798451280377019</c:v>
                </c:pt>
                <c:pt idx="9">
                  <c:v>26.715606120439233</c:v>
                </c:pt>
                <c:pt idx="10">
                  <c:v>25.581733603522316</c:v>
                </c:pt>
                <c:pt idx="11">
                  <c:v>24.17365642982428</c:v>
                </c:pt>
                <c:pt idx="12">
                  <c:v>22.75087054052662</c:v>
                </c:pt>
                <c:pt idx="13">
                  <c:v>21.418243120800948</c:v>
                </c:pt>
                <c:pt idx="14">
                  <c:v>20.202913184419682</c:v>
                </c:pt>
                <c:pt idx="15">
                  <c:v>19.102291557676814</c:v>
                </c:pt>
                <c:pt idx="16">
                  <c:v>18.104586539919428</c:v>
                </c:pt>
                <c:pt idx="17">
                  <c:v>17.196459131140411</c:v>
                </c:pt>
                <c:pt idx="18">
                  <c:v>16.365586294285009</c:v>
                </c:pt>
                <c:pt idx="19">
                  <c:v>10.632190058395077</c:v>
                </c:pt>
                <c:pt idx="20">
                  <c:v>7.1773486966161268</c:v>
                </c:pt>
                <c:pt idx="21">
                  <c:v>4.7160118548867995</c:v>
                </c:pt>
                <c:pt idx="22">
                  <c:v>2.81024731467638</c:v>
                </c:pt>
                <c:pt idx="23">
                  <c:v>1.2601128594008757</c:v>
                </c:pt>
                <c:pt idx="24">
                  <c:v>-4.2266862223460995E-2</c:v>
                </c:pt>
                <c:pt idx="25">
                  <c:v>-1.161718994641006</c:v>
                </c:pt>
                <c:pt idx="26">
                  <c:v>-2.140263558998122</c:v>
                </c:pt>
                <c:pt idx="27">
                  <c:v>-3.0067137038183689</c:v>
                </c:pt>
                <c:pt idx="28">
                  <c:v>-8.3347488893702621</c:v>
                </c:pt>
                <c:pt idx="29">
                  <c:v>-10.913442755523327</c:v>
                </c:pt>
                <c:pt idx="30">
                  <c:v>-12.376208911665341</c:v>
                </c:pt>
                <c:pt idx="31">
                  <c:v>-13.283372422789668</c:v>
                </c:pt>
                <c:pt idx="32">
                  <c:v>-13.888488189883416</c:v>
                </c:pt>
                <c:pt idx="33">
                  <c:v>-14.3195141032274</c:v>
                </c:pt>
                <c:pt idx="34">
                  <c:v>-14.645348527772391</c:v>
                </c:pt>
                <c:pt idx="35">
                  <c:v>-14.904951429090008</c:v>
                </c:pt>
                <c:pt idx="36">
                  <c:v>-15.121250517558851</c:v>
                </c:pt>
                <c:pt idx="37">
                  <c:v>-16.453681488734926</c:v>
                </c:pt>
                <c:pt idx="38">
                  <c:v>-17.24857377614217</c:v>
                </c:pt>
                <c:pt idx="39">
                  <c:v>-17.749234369786027</c:v>
                </c:pt>
                <c:pt idx="40">
                  <c:v>-18.065799671722385</c:v>
                </c:pt>
                <c:pt idx="41">
                  <c:v>-18.271745890047711</c:v>
                </c:pt>
                <c:pt idx="42">
                  <c:v>-18.410654089699346</c:v>
                </c:pt>
                <c:pt idx="43">
                  <c:v>-18.50772071738583</c:v>
                </c:pt>
                <c:pt idx="44">
                  <c:v>-18.577750671676526</c:v>
                </c:pt>
                <c:pt idx="45">
                  <c:v>-18.62970893580048</c:v>
                </c:pt>
                <c:pt idx="46">
                  <c:v>-18.807320802174768</c:v>
                </c:pt>
                <c:pt idx="47">
                  <c:v>-18.842297312384162</c:v>
                </c:pt>
                <c:pt idx="48">
                  <c:v>-18.854704228517129</c:v>
                </c:pt>
                <c:pt idx="49">
                  <c:v>-18.860476320551452</c:v>
                </c:pt>
                <c:pt idx="50">
                  <c:v>-18.863619643249169</c:v>
                </c:pt>
                <c:pt idx="51">
                  <c:v>-18.865517652426238</c:v>
                </c:pt>
                <c:pt idx="52">
                  <c:v>-18.866750616303662</c:v>
                </c:pt>
                <c:pt idx="53">
                  <c:v>-18.867596425431874</c:v>
                </c:pt>
                <c:pt idx="54">
                  <c:v>-18.868201674030633</c:v>
                </c:pt>
                <c:pt idx="55">
                  <c:v>-18.870138256643337</c:v>
                </c:pt>
              </c:numCache>
            </c:numRef>
          </c:yVal>
          <c:smooth val="1"/>
        </c:ser>
        <c:dLbls>
          <c:showLegendKey val="0"/>
          <c:showVal val="0"/>
          <c:showCatName val="0"/>
          <c:showSerName val="0"/>
          <c:showPercent val="0"/>
          <c:showBubbleSize val="0"/>
        </c:dLbls>
        <c:axId val="128643840"/>
        <c:axId val="128645760"/>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-1.9185800894094369</c:v>
                </c:pt>
                <c:pt idx="1">
                  <c:v>-3.8329685119564023</c:v>
                </c:pt>
                <c:pt idx="2">
                  <c:v>-5.7390287244832079</c:v>
                </c:pt>
                <c:pt idx="3">
                  <c:v>-7.6327326314255917</c:v>
                </c:pt>
                <c:pt idx="4">
                  <c:v>-9.5102104177777633</c:v>
                </c:pt>
                <c:pt idx="5">
                  <c:v>-11.367795407010014</c:v>
                </c:pt>
                <c:pt idx="6">
                  <c:v>-13.202062745644641</c:v>
                </c:pt>
                <c:pt idx="7">
                  <c:v>-15.009861055103169</c:v>
                </c:pt>
                <c:pt idx="8">
                  <c:v>-16.788336554584742</c:v>
                </c:pt>
                <c:pt idx="9">
                  <c:v>-18.534949517740923</c:v>
                </c:pt>
                <c:pt idx="10">
                  <c:v>-33.914134770989129</c:v>
                </c:pt>
                <c:pt idx="11">
                  <c:v>-45.369564323498416</c:v>
                </c:pt>
                <c:pt idx="12">
                  <c:v>-53.655365475850502</c:v>
                </c:pt>
                <c:pt idx="13">
                  <c:v>-59.720497261355192</c:v>
                </c:pt>
                <c:pt idx="14">
                  <c:v>-64.278605500168851</c:v>
                </c:pt>
                <c:pt idx="15">
                  <c:v>-67.803898291191814</c:v>
                </c:pt>
                <c:pt idx="16">
                  <c:v>-70.604458917090327</c:v>
                </c:pt>
                <c:pt idx="17">
                  <c:v>-72.882766935834525</c:v>
                </c:pt>
                <c:pt idx="18">
                  <c:v>-74.774970667399955</c:v>
                </c:pt>
                <c:pt idx="19">
                  <c:v>-84.486370620771254</c:v>
                </c:pt>
                <c:pt idx="20">
                  <c:v>-88.831778102647505</c:v>
                </c:pt>
                <c:pt idx="21">
                  <c:v>-91.769061157694168</c:v>
                </c:pt>
                <c:pt idx="22">
                  <c:v>-94.131699382498724</c:v>
                </c:pt>
                <c:pt idx="23">
                  <c:v>-96.200476218119363</c:v>
                </c:pt>
                <c:pt idx="24">
                  <c:v>-98.095597274250522</c:v>
                </c:pt>
                <c:pt idx="25">
                  <c:v>-99.876638745406055</c:v>
                </c:pt>
                <c:pt idx="26">
                  <c:v>-101.57616640626324</c:v>
                </c:pt>
                <c:pt idx="27">
                  <c:v>-103.21325387501324</c:v>
                </c:pt>
                <c:pt idx="28">
                  <c:v>-117.49685110634275</c:v>
                </c:pt>
                <c:pt idx="29">
                  <c:v>-128.96691576033911</c:v>
                </c:pt>
                <c:pt idx="30">
                  <c:v>-138.09548253635825</c:v>
                </c:pt>
                <c:pt idx="31">
                  <c:v>-145.34641313770643</c:v>
                </c:pt>
                <c:pt idx="32">
                  <c:v>-151.16176002187979</c:v>
                </c:pt>
                <c:pt idx="33">
                  <c:v>-155.89470659682706</c:v>
                </c:pt>
                <c:pt idx="34">
                  <c:v>-159.80670486339883</c:v>
                </c:pt>
                <c:pt idx="35">
                  <c:v>-163.08645725354242</c:v>
                </c:pt>
                <c:pt idx="36">
                  <c:v>-165.87003459184314</c:v>
                </c:pt>
                <c:pt idx="37">
                  <c:v>-179.8837097594994</c:v>
                </c:pt>
                <c:pt idx="38">
                  <c:v>176.07504190694209</c:v>
                </c:pt>
                <c:pt idx="39">
                  <c:v>175.02388543428751</c:v>
                </c:pt>
                <c:pt idx="40">
                  <c:v>174.96330841796086</c:v>
                </c:pt>
                <c:pt idx="41">
                  <c:v>175.22282539499025</c:v>
                </c:pt>
                <c:pt idx="42">
                  <c:v>175.56748080395113</c:v>
                </c:pt>
                <c:pt idx="43">
                  <c:v>175.91402984791677</c:v>
                </c:pt>
                <c:pt idx="44">
                  <c:v>176.23452606315587</c:v>
                </c:pt>
                <c:pt idx="45">
                  <c:v>176.52173061809148</c:v>
                </c:pt>
                <c:pt idx="46">
                  <c:v>178.10755323225402</c:v>
                </c:pt>
                <c:pt idx="47">
                  <c:v>178.71816999824475</c:v>
                </c:pt>
                <c:pt idx="48">
                  <c:v>179.03324968151986</c:v>
                </c:pt>
                <c:pt idx="49">
                  <c:v>179.22459761840602</c:v>
                </c:pt>
                <c:pt idx="50">
                  <c:v>179.3529226335759</c:v>
                </c:pt>
                <c:pt idx="51">
                  <c:v>179.44489190304867</c:v>
                </c:pt>
                <c:pt idx="52">
                  <c:v>179.51401304876654</c:v>
                </c:pt>
                <c:pt idx="53">
                  <c:v>179.56784856021892</c:v>
                </c:pt>
                <c:pt idx="54">
                  <c:v>179.61095870049672</c:v>
                </c:pt>
                <c:pt idx="55">
                  <c:v>179.80531135601905</c:v>
                </c:pt>
              </c:numCache>
            </c:numRef>
          </c:yVal>
          <c:smooth val="1"/>
        </c:ser>
        <c:dLbls>
          <c:showLegendKey val="0"/>
          <c:showVal val="0"/>
          <c:showCatName val="0"/>
          <c:showSerName val="0"/>
          <c:showPercent val="0"/>
          <c:showBubbleSize val="0"/>
        </c:dLbls>
        <c:axId val="128715392"/>
        <c:axId val="128713472"/>
      </c:scatterChart>
      <c:valAx>
        <c:axId val="128643840"/>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overlay val="0"/>
        </c:title>
        <c:numFmt formatCode="0.E+00" sourceLinked="0"/>
        <c:majorTickMark val="out"/>
        <c:minorTickMark val="none"/>
        <c:tickLblPos val="low"/>
        <c:crossAx val="128645760"/>
        <c:crosses val="autoZero"/>
        <c:crossBetween val="midCat"/>
      </c:valAx>
      <c:valAx>
        <c:axId val="128645760"/>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8643840"/>
        <c:crosses val="autoZero"/>
        <c:crossBetween val="midCat"/>
        <c:majorUnit val="20"/>
      </c:valAx>
      <c:valAx>
        <c:axId val="128713472"/>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8715392"/>
        <c:crosses val="max"/>
        <c:crossBetween val="midCat"/>
        <c:majorUnit val="45"/>
      </c:valAx>
      <c:valAx>
        <c:axId val="128715392"/>
        <c:scaling>
          <c:logBase val="10"/>
          <c:orientation val="minMax"/>
        </c:scaling>
        <c:delete val="1"/>
        <c:axPos val="b"/>
        <c:majorGridlines/>
        <c:minorGridlines/>
        <c:numFmt formatCode="##0.000E+0" sourceLinked="1"/>
        <c:majorTickMark val="out"/>
        <c:minorTickMark val="none"/>
        <c:tickLblPos val="nextTo"/>
        <c:crossAx val="128713472"/>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Modulator Model {VIN Min, Full Load}</a:t>
            </a:r>
            <a:endParaRPr lang="en-US">
              <a:effectLst/>
            </a:endParaRPr>
          </a:p>
        </c:rich>
      </c:tx>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48.847188493786192</c:v>
                </c:pt>
                <c:pt idx="1">
                  <c:v>48.845233382948351</c:v>
                </c:pt>
                <c:pt idx="2">
                  <c:v>48.841976819512922</c:v>
                </c:pt>
                <c:pt idx="3">
                  <c:v>48.837421729271632</c:v>
                </c:pt>
                <c:pt idx="4">
                  <c:v>48.831572196073225</c:v>
                </c:pt>
                <c:pt idx="5">
                  <c:v>48.824433449656127</c:v>
                </c:pt>
                <c:pt idx="6">
                  <c:v>48.816011850135482</c:v>
                </c:pt>
                <c:pt idx="7">
                  <c:v>48.806314869240701</c:v>
                </c:pt>
                <c:pt idx="8">
                  <c:v>48.795351068419038</c:v>
                </c:pt>
                <c:pt idx="9">
                  <c:v>48.783130073938551</c:v>
                </c:pt>
                <c:pt idx="10">
                  <c:v>48.594590635002717</c:v>
                </c:pt>
                <c:pt idx="11">
                  <c:v>48.297480230844968</c:v>
                </c:pt>
                <c:pt idx="12">
                  <c:v>47.912970186405694</c:v>
                </c:pt>
                <c:pt idx="13">
                  <c:v>47.463892874259422</c:v>
                </c:pt>
                <c:pt idx="14">
                  <c:v>46.971449784606293</c:v>
                </c:pt>
                <c:pt idx="15">
                  <c:v>46.453416097035145</c:v>
                </c:pt>
                <c:pt idx="16">
                  <c:v>45.923627163095759</c:v>
                </c:pt>
                <c:pt idx="17">
                  <c:v>45.392252712174411</c:v>
                </c:pt>
                <c:pt idx="18">
                  <c:v>44.866416686459388</c:v>
                </c:pt>
                <c:pt idx="19">
                  <c:v>40.393976847601138</c:v>
                </c:pt>
                <c:pt idx="20">
                  <c:v>37.231042257225319</c:v>
                </c:pt>
                <c:pt idx="21">
                  <c:v>34.86524469274292</c:v>
                </c:pt>
                <c:pt idx="22">
                  <c:v>32.990016213388735</c:v>
                </c:pt>
                <c:pt idx="23">
                  <c:v>31.441002181380043</c:v>
                </c:pt>
                <c:pt idx="24">
                  <c:v>30.123087950795451</c:v>
                </c:pt>
                <c:pt idx="25">
                  <c:v>28.976966286760799</c:v>
                </c:pt>
                <c:pt idx="26">
                  <c:v>27.963364754034568</c:v>
                </c:pt>
                <c:pt idx="27">
                  <c:v>27.055006017088907</c:v>
                </c:pt>
                <c:pt idx="28">
                  <c:v>21.056883150823079</c:v>
                </c:pt>
                <c:pt idx="29">
                  <c:v>17.540519408871585</c:v>
                </c:pt>
                <c:pt idx="30">
                  <c:v>15.045176799837122</c:v>
                </c:pt>
                <c:pt idx="31">
                  <c:v>13.110231484966231</c:v>
                </c:pt>
                <c:pt idx="32">
                  <c:v>11.53014090978418</c:v>
                </c:pt>
                <c:pt idx="33">
                  <c:v>10.195174452182417</c:v>
                </c:pt>
                <c:pt idx="34">
                  <c:v>9.0398038762785777</c:v>
                </c:pt>
                <c:pt idx="35">
                  <c:v>8.021750412153656</c:v>
                </c:pt>
                <c:pt idx="36">
                  <c:v>7.1121407589304741</c:v>
                </c:pt>
                <c:pt idx="37">
                  <c:v>1.1772609252141322</c:v>
                </c:pt>
                <c:pt idx="38">
                  <c:v>-2.2056565666690382</c:v>
                </c:pt>
                <c:pt idx="39">
                  <c:v>-4.5171732108674849</c:v>
                </c:pt>
                <c:pt idx="40">
                  <c:v>-6.2259103740366033</c:v>
                </c:pt>
                <c:pt idx="41">
                  <c:v>-7.544611575039962</c:v>
                </c:pt>
                <c:pt idx="42">
                  <c:v>-8.5899659650114195</c:v>
                </c:pt>
                <c:pt idx="43">
                  <c:v>-9.4340180983260424</c:v>
                </c:pt>
                <c:pt idx="44">
                  <c:v>-10.124911310273216</c:v>
                </c:pt>
                <c:pt idx="45">
                  <c:v>-10.69661348158952</c:v>
                </c:pt>
                <c:pt idx="46">
                  <c:v>-13.291879270336773</c:v>
                </c:pt>
                <c:pt idx="47">
                  <c:v>-14.004999481601864</c:v>
                </c:pt>
                <c:pt idx="48">
                  <c:v>-14.285093663190633</c:v>
                </c:pt>
                <c:pt idx="49">
                  <c:v>-14.421117332216589</c:v>
                </c:pt>
                <c:pt idx="50">
                  <c:v>-14.496832228583008</c:v>
                </c:pt>
                <c:pt idx="51">
                  <c:v>-14.543132135430559</c:v>
                </c:pt>
                <c:pt idx="52">
                  <c:v>-14.573448879795315</c:v>
                </c:pt>
                <c:pt idx="53">
                  <c:v>-14.59435690371806</c:v>
                </c:pt>
                <c:pt idx="54">
                  <c:v>-14.609374281863429</c:v>
                </c:pt>
                <c:pt idx="55">
                  <c:v>-14.657741824008465</c:v>
                </c:pt>
              </c:numCache>
            </c:numRef>
          </c:yVal>
          <c:smooth val="1"/>
        </c:ser>
        <c:dLbls>
          <c:showLegendKey val="0"/>
          <c:showVal val="0"/>
          <c:showCatName val="0"/>
          <c:showSerName val="0"/>
          <c:showPercent val="0"/>
          <c:showBubbleSize val="0"/>
        </c:dLbls>
        <c:axId val="129180416"/>
        <c:axId val="129182336"/>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-0.70149687585977949</c:v>
                </c:pt>
                <c:pt idx="1">
                  <c:v>-1.4027830827715482</c:v>
                </c:pt>
                <c:pt idx="2">
                  <c:v>-2.1036483308880243</c:v>
                </c:pt>
                <c:pt idx="3">
                  <c:v>-2.803883086859555</c:v>
                </c:pt>
                <c:pt idx="4">
                  <c:v>-3.5032789478375075</c:v>
                </c:pt>
                <c:pt idx="5">
                  <c:v>-4.2016290104229679</c:v>
                </c:pt>
                <c:pt idx="6">
                  <c:v>-4.8987282329416191</c:v>
                </c:pt>
                <c:pt idx="7">
                  <c:v>-5.5943737894808212</c:v>
                </c:pt>
                <c:pt idx="8">
                  <c:v>-6.288365414192425</c:v>
                </c:pt>
                <c:pt idx="9">
                  <c:v>-6.980505734444522</c:v>
                </c:pt>
                <c:pt idx="10">
                  <c:v>-13.759331188972373</c:v>
                </c:pt>
                <c:pt idx="11">
                  <c:v>-20.167688761074245</c:v>
                </c:pt>
                <c:pt idx="12">
                  <c:v>-26.090220665241134</c:v>
                </c:pt>
                <c:pt idx="13">
                  <c:v>-31.468675922955722</c:v>
                </c:pt>
                <c:pt idx="14">
                  <c:v>-36.292741793796218</c:v>
                </c:pt>
                <c:pt idx="15">
                  <c:v>-40.585439318401988</c:v>
                </c:pt>
                <c:pt idx="16">
                  <c:v>-44.389004395259754</c:v>
                </c:pt>
                <c:pt idx="17">
                  <c:v>-47.75407108760168</c:v>
                </c:pt>
                <c:pt idx="18">
                  <c:v>-50.73259213613585</c:v>
                </c:pt>
                <c:pt idx="19">
                  <c:v>-67.706539726487506</c:v>
                </c:pt>
                <c:pt idx="20">
                  <c:v>-74.640086997146838</c:v>
                </c:pt>
                <c:pt idx="21">
                  <c:v>-78.280206066225816</c:v>
                </c:pt>
                <c:pt idx="22">
                  <c:v>-80.495044034183223</c:v>
                </c:pt>
                <c:pt idx="23">
                  <c:v>-81.972811594305526</c:v>
                </c:pt>
                <c:pt idx="24">
                  <c:v>-83.021914983354904</c:v>
                </c:pt>
                <c:pt idx="25">
                  <c:v>-83.80030763834813</c:v>
                </c:pt>
                <c:pt idx="26">
                  <c:v>-84.397023525196929</c:v>
                </c:pt>
                <c:pt idx="27">
                  <c:v>-84.86599061793649</c:v>
                </c:pt>
                <c:pt idx="28">
                  <c:v>-86.727198774835969</c:v>
                </c:pt>
                <c:pt idx="29">
                  <c:v>-87.037877892496084</c:v>
                </c:pt>
                <c:pt idx="30">
                  <c:v>-86.959737317914005</c:v>
                </c:pt>
                <c:pt idx="31">
                  <c:v>-86.726110303819425</c:v>
                </c:pt>
                <c:pt idx="32">
                  <c:v>-86.41489926080672</c:v>
                </c:pt>
                <c:pt idx="33">
                  <c:v>-86.059541499427084</c:v>
                </c:pt>
                <c:pt idx="34">
                  <c:v>-85.676790320312321</c:v>
                </c:pt>
                <c:pt idx="35">
                  <c:v>-85.275981419275027</c:v>
                </c:pt>
                <c:pt idx="36">
                  <c:v>-84.862740774033441</c:v>
                </c:pt>
                <c:pt idx="37">
                  <c:v>-80.488139529286514</c:v>
                </c:pt>
                <c:pt idx="38">
                  <c:v>-76.07543045163068</c:v>
                </c:pt>
                <c:pt idx="39">
                  <c:v>-71.789548875958673</c:v>
                </c:pt>
                <c:pt idx="40">
                  <c:v>-67.691022431470884</c:v>
                </c:pt>
                <c:pt idx="41">
                  <c:v>-63.813120011465656</c:v>
                </c:pt>
                <c:pt idx="42">
                  <c:v>-60.173574591694013</c:v>
                </c:pt>
                <c:pt idx="43">
                  <c:v>-56.778885967810922</c:v>
                </c:pt>
                <c:pt idx="44">
                  <c:v>-53.627218641340754</c:v>
                </c:pt>
                <c:pt idx="45">
                  <c:v>-50.710802445672144</c:v>
                </c:pt>
                <c:pt idx="46">
                  <c:v>-31.448852231885475</c:v>
                </c:pt>
                <c:pt idx="47">
                  <c:v>-22.184272482755024</c:v>
                </c:pt>
                <c:pt idx="48">
                  <c:v>-17.005940264385821</c:v>
                </c:pt>
                <c:pt idx="49">
                  <c:v>-13.749043149214701</c:v>
                </c:pt>
                <c:pt idx="50">
                  <c:v>-11.524800662732464</c:v>
                </c:pt>
                <c:pt idx="51">
                  <c:v>-9.913757719956541</c:v>
                </c:pt>
                <c:pt idx="52">
                  <c:v>-8.6948317469287399</c:v>
                </c:pt>
                <c:pt idx="53">
                  <c:v>-7.7411946956882991</c:v>
                </c:pt>
                <c:pt idx="54">
                  <c:v>-6.9751334932526747</c:v>
                </c:pt>
                <c:pt idx="55">
                  <c:v>-3.5005627008908156</c:v>
                </c:pt>
              </c:numCache>
            </c:numRef>
          </c:yVal>
          <c:smooth val="1"/>
        </c:ser>
        <c:dLbls>
          <c:showLegendKey val="0"/>
          <c:showVal val="0"/>
          <c:showCatName val="0"/>
          <c:showSerName val="0"/>
          <c:showPercent val="0"/>
          <c:showBubbleSize val="0"/>
        </c:dLbls>
        <c:axId val="129190528"/>
        <c:axId val="129188608"/>
      </c:scatterChart>
      <c:valAx>
        <c:axId val="129180416"/>
        <c:scaling>
          <c:logBase val="10"/>
          <c:orientation val="minMax"/>
          <c:max val="10000000"/>
          <c:min val="1"/>
        </c:scaling>
        <c:delete val="0"/>
        <c:axPos val="b"/>
        <c:majorGridlines/>
        <c:minorGridlines/>
        <c:title>
          <c:tx>
            <c:rich>
              <a:bodyPr/>
              <a:lstStyle/>
              <a:p>
                <a:pPr>
                  <a:defRPr/>
                </a:pPr>
                <a:r>
                  <a:rPr lang="en-US"/>
                  <a:t>Frequency (Hz)</a:t>
                </a:r>
              </a:p>
            </c:rich>
          </c:tx>
          <c:overlay val="0"/>
        </c:title>
        <c:numFmt formatCode="General" sourceLinked="0"/>
        <c:majorTickMark val="out"/>
        <c:minorTickMark val="none"/>
        <c:tickLblPos val="low"/>
        <c:crossAx val="129182336"/>
        <c:crosses val="autoZero"/>
        <c:crossBetween val="midCat"/>
      </c:valAx>
      <c:valAx>
        <c:axId val="129182336"/>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29180416"/>
        <c:crosses val="autoZero"/>
        <c:crossBetween val="midCat"/>
        <c:majorUnit val="20"/>
      </c:valAx>
      <c:valAx>
        <c:axId val="12918860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9190528"/>
        <c:crosses val="max"/>
        <c:crossBetween val="midCat"/>
      </c:valAx>
      <c:valAx>
        <c:axId val="129190528"/>
        <c:scaling>
          <c:logBase val="10"/>
          <c:orientation val="minMax"/>
        </c:scaling>
        <c:delete val="1"/>
        <c:axPos val="b"/>
        <c:majorGridlines/>
        <c:minorGridlines/>
        <c:numFmt formatCode="##0.000E+0" sourceLinked="1"/>
        <c:majorTickMark val="out"/>
        <c:minorTickMark val="none"/>
        <c:tickLblPos val="nextTo"/>
        <c:crossAx val="129188608"/>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Isolated Compensation</a:t>
            </a:r>
            <a:endParaRPr lang="en-US">
              <a:effectLst/>
            </a:endParaRPr>
          </a:p>
        </c:rich>
      </c:tx>
      <c:overlay val="0"/>
    </c:title>
    <c:autoTitleDeleted val="0"/>
    <c:plotArea>
      <c:layout>
        <c:manualLayout>
          <c:layoutTarget val="inner"/>
          <c:xMode val="edge"/>
          <c:yMode val="edge"/>
          <c:x val="0.1274626088405616"/>
          <c:y val="0.16355052493438321"/>
          <c:w val="0.74697891930175397"/>
          <c:h val="0.67583595800524932"/>
        </c:manualLayout>
      </c:layout>
      <c:scatterChart>
        <c:scatterStyle val="smoothMarker"/>
        <c:varyColors val="0"/>
        <c:ser>
          <c:idx val="0"/>
          <c:order val="0"/>
          <c:tx>
            <c:v>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Flyback_DCM_Calc!$DJ$4:$DJ$59</c:f>
              <c:numCache>
                <c:formatCode>General</c:formatCode>
                <c:ptCount val="56"/>
                <c:pt idx="0">
                  <c:v>40.334354049287207</c:v>
                </c:pt>
                <c:pt idx="1">
                  <c:v>34.31396475343972</c:v>
                </c:pt>
                <c:pt idx="2">
                  <c:v>30.792490578671227</c:v>
                </c:pt>
                <c:pt idx="3">
                  <c:v>28.294207207708286</c:v>
                </c:pt>
                <c:pt idx="4">
                  <c:v>26.356638615946558</c:v>
                </c:pt>
                <c:pt idx="5">
                  <c:v>24.77378560933699</c:v>
                </c:pt>
                <c:pt idx="6">
                  <c:v>23.435761902187011</c:v>
                </c:pt>
                <c:pt idx="7">
                  <c:v>22.276975130843446</c:v>
                </c:pt>
                <c:pt idx="8">
                  <c:v>21.255116830963658</c:v>
                </c:pt>
                <c:pt idx="9">
                  <c:v>20.341299034299567</c:v>
                </c:pt>
                <c:pt idx="10">
                  <c:v>14.341676929973088</c:v>
                </c:pt>
                <c:pt idx="11">
                  <c:v>10.854591029330042</c:v>
                </c:pt>
                <c:pt idx="12">
                  <c:v>8.4039888867300085</c:v>
                </c:pt>
                <c:pt idx="13">
                  <c:v>6.526949474117977</c:v>
                </c:pt>
                <c:pt idx="14">
                  <c:v>5.0169249799432949</c:v>
                </c:pt>
                <c:pt idx="15">
                  <c:v>3.7633924798013165</c:v>
                </c:pt>
                <c:pt idx="16">
                  <c:v>2.7000519962120846</c:v>
                </c:pt>
                <c:pt idx="17">
                  <c:v>1.7838340972674445</c:v>
                </c:pt>
                <c:pt idx="18">
                  <c:v>0.98505388186145626</c:v>
                </c:pt>
                <c:pt idx="19">
                  <c:v>-3.5206027053833946</c:v>
                </c:pt>
                <c:pt idx="20">
                  <c:v>-5.3086878026185857</c:v>
                </c:pt>
                <c:pt idx="21">
                  <c:v>-6.1622223337230118</c:v>
                </c:pt>
                <c:pt idx="22">
                  <c:v>-6.6231600182829196</c:v>
                </c:pt>
                <c:pt idx="23">
                  <c:v>-6.8966449890969468</c:v>
                </c:pt>
                <c:pt idx="24">
                  <c:v>-7.0713090935699361</c:v>
                </c:pt>
                <c:pt idx="25">
                  <c:v>-7.189644336590943</c:v>
                </c:pt>
                <c:pt idx="26">
                  <c:v>-7.2738166605763936</c:v>
                </c:pt>
                <c:pt idx="27">
                  <c:v>-7.3362145669979295</c:v>
                </c:pt>
                <c:pt idx="28">
                  <c:v>-7.5846011813785994</c:v>
                </c:pt>
                <c:pt idx="29">
                  <c:v>-7.7107019596727033</c:v>
                </c:pt>
                <c:pt idx="30">
                  <c:v>-7.8455818651107121</c:v>
                </c:pt>
                <c:pt idx="31">
                  <c:v>-8.0034614047032804</c:v>
                </c:pt>
                <c:pt idx="32">
                  <c:v>-8.1854050466842327</c:v>
                </c:pt>
                <c:pt idx="33">
                  <c:v>-8.3894741192848414</c:v>
                </c:pt>
                <c:pt idx="34">
                  <c:v>-8.612823553070811</c:v>
                </c:pt>
                <c:pt idx="35">
                  <c:v>-8.8523725684617922</c:v>
                </c:pt>
                <c:pt idx="36">
                  <c:v>-9.1050926120516706</c:v>
                </c:pt>
                <c:pt idx="37">
                  <c:v>-11.872695492951202</c:v>
                </c:pt>
                <c:pt idx="38">
                  <c:v>-14.389522823167489</c:v>
                </c:pt>
                <c:pt idx="39">
                  <c:v>-16.473258751717598</c:v>
                </c:pt>
                <c:pt idx="40">
                  <c:v>-18.205038860618561</c:v>
                </c:pt>
                <c:pt idx="41">
                  <c:v>-19.672278725924961</c:v>
                </c:pt>
                <c:pt idx="42">
                  <c:v>-20.939499495646356</c:v>
                </c:pt>
                <c:pt idx="43">
                  <c:v>-22.052150411477875</c:v>
                </c:pt>
                <c:pt idx="44">
                  <c:v>-23.042549916596062</c:v>
                </c:pt>
                <c:pt idx="45">
                  <c:v>-23.934193103021816</c:v>
                </c:pt>
                <c:pt idx="46">
                  <c:v>-29.878767885947425</c:v>
                </c:pt>
                <c:pt idx="47">
                  <c:v>-33.386367037395274</c:v>
                </c:pt>
                <c:pt idx="48">
                  <c:v>-35.880151623736737</c:v>
                </c:pt>
                <c:pt idx="49">
                  <c:v>-37.816040215650652</c:v>
                </c:pt>
                <c:pt idx="50">
                  <c:v>-39.398408899380925</c:v>
                </c:pt>
                <c:pt idx="51">
                  <c:v>-40.736587044830877</c:v>
                </c:pt>
                <c:pt idx="52">
                  <c:v>-41.895934171456766</c:v>
                </c:pt>
                <c:pt idx="53">
                  <c:v>-42.918647402878861</c:v>
                </c:pt>
                <c:pt idx="54">
                  <c:v>-43.833555988307531</c:v>
                </c:pt>
                <c:pt idx="55">
                  <c:v>-49.853384523912041</c:v>
                </c:pt>
              </c:numCache>
            </c:numRef>
          </c:yVal>
          <c:smooth val="1"/>
        </c:ser>
        <c:dLbls>
          <c:showLegendKey val="0"/>
          <c:showVal val="0"/>
          <c:showCatName val="0"/>
          <c:showSerName val="0"/>
          <c:showPercent val="0"/>
          <c:showBubbleSize val="0"/>
        </c:dLbls>
        <c:axId val="129221376"/>
        <c:axId val="129223296"/>
      </c:scatterChart>
      <c:scatterChart>
        <c:scatterStyle val="smoothMarker"/>
        <c:varyColors val="0"/>
        <c:ser>
          <c:idx val="1"/>
          <c:order val="1"/>
          <c:tx>
            <c:v>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Flyback_DCM_Calc!$DK$4:$DK$59</c:f>
              <c:numCache>
                <c:formatCode>General</c:formatCode>
                <c:ptCount val="56"/>
                <c:pt idx="0">
                  <c:v>90.226676358133645</c:v>
                </c:pt>
                <c:pt idx="1">
                  <c:v>90.453345265358351</c:v>
                </c:pt>
                <c:pt idx="2">
                  <c:v>90.679999272210821</c:v>
                </c:pt>
                <c:pt idx="3">
                  <c:v>90.906630932118361</c:v>
                </c:pt>
                <c:pt idx="4">
                  <c:v>91.133232802842414</c:v>
                </c:pt>
                <c:pt idx="5">
                  <c:v>91.359797447920016</c:v>
                </c:pt>
                <c:pt idx="6">
                  <c:v>91.586317438102427</c:v>
                </c:pt>
                <c:pt idx="7">
                  <c:v>91.812785352790328</c:v>
                </c:pt>
                <c:pt idx="8">
                  <c:v>92.039193781464718</c:v>
                </c:pt>
                <c:pt idx="9">
                  <c:v>92.265535325113063</c:v>
                </c:pt>
                <c:pt idx="10">
                  <c:v>94.523655352434503</c:v>
                </c:pt>
                <c:pt idx="11">
                  <c:v>96.767087064895392</c:v>
                </c:pt>
                <c:pt idx="12">
                  <c:v>98.98883525024884</c:v>
                </c:pt>
                <c:pt idx="13">
                  <c:v>101.18230510306739</c:v>
                </c:pt>
                <c:pt idx="14">
                  <c:v>103.34140683965184</c:v>
                </c:pt>
                <c:pt idx="15">
                  <c:v>105.46063872338462</c:v>
                </c:pt>
                <c:pt idx="16">
                  <c:v>107.53514653800275</c:v>
                </c:pt>
                <c:pt idx="17">
                  <c:v>109.56075917458648</c:v>
                </c:pt>
                <c:pt idx="18">
                  <c:v>111.53400145112177</c:v>
                </c:pt>
                <c:pt idx="19">
                  <c:v>128.06346319740638</c:v>
                </c:pt>
                <c:pt idx="20">
                  <c:v>139.22699920836814</c:v>
                </c:pt>
                <c:pt idx="21">
                  <c:v>146.64219982489649</c:v>
                </c:pt>
                <c:pt idx="22">
                  <c:v>151.69557636710007</c:v>
                </c:pt>
                <c:pt idx="23">
                  <c:v>155.25534596759871</c:v>
                </c:pt>
                <c:pt idx="24">
                  <c:v>157.83819779975619</c:v>
                </c:pt>
                <c:pt idx="25">
                  <c:v>159.75692630114588</c:v>
                </c:pt>
                <c:pt idx="26">
                  <c:v>161.20760654765931</c:v>
                </c:pt>
                <c:pt idx="27">
                  <c:v>162.3178058687003</c:v>
                </c:pt>
                <c:pt idx="28">
                  <c:v>165.50890999266119</c:v>
                </c:pt>
                <c:pt idx="29">
                  <c:v>164.23247057605644</c:v>
                </c:pt>
                <c:pt idx="30">
                  <c:v>161.87513006115495</c:v>
                </c:pt>
                <c:pt idx="31">
                  <c:v>159.15678297929367</c:v>
                </c:pt>
                <c:pt idx="32">
                  <c:v>156.33036799830884</c:v>
                </c:pt>
                <c:pt idx="33">
                  <c:v>153.51043897767789</c:v>
                </c:pt>
                <c:pt idx="34">
                  <c:v>150.75660311823046</c:v>
                </c:pt>
                <c:pt idx="35">
                  <c:v>148.10186825436483</c:v>
                </c:pt>
                <c:pt idx="36">
                  <c:v>145.56443299502766</c:v>
                </c:pt>
                <c:pt idx="37">
                  <c:v>126.86979209078608</c:v>
                </c:pt>
                <c:pt idx="38">
                  <c:v>116.68615844268906</c:v>
                </c:pt>
                <c:pt idx="39">
                  <c:v>110.69072301030684</c:v>
                </c:pt>
                <c:pt idx="40">
                  <c:v>106.82566380872977</c:v>
                </c:pt>
                <c:pt idx="41">
                  <c:v>104.15068509968262</c:v>
                </c:pt>
                <c:pt idx="42">
                  <c:v>102.19775199860109</c:v>
                </c:pt>
                <c:pt idx="43">
                  <c:v>100.71263520289246</c:v>
                </c:pt>
                <c:pt idx="44">
                  <c:v>99.546745140527946</c:v>
                </c:pt>
                <c:pt idx="45">
                  <c:v>98.60790286267455</c:v>
                </c:pt>
                <c:pt idx="46">
                  <c:v>94.329612826799035</c:v>
                </c:pt>
                <c:pt idx="47">
                  <c:v>92.889616446689516</c:v>
                </c:pt>
                <c:pt idx="48">
                  <c:v>92.16805664744092</c:v>
                </c:pt>
                <c:pt idx="49">
                  <c:v>91.734758270450769</c:v>
                </c:pt>
                <c:pt idx="50">
                  <c:v>91.445773627653665</c:v>
                </c:pt>
                <c:pt idx="51">
                  <c:v>91.23930781161063</c:v>
                </c:pt>
                <c:pt idx="52">
                  <c:v>91.084435955069125</c:v>
                </c:pt>
                <c:pt idx="53">
                  <c:v>90.963968438054749</c:v>
                </c:pt>
                <c:pt idx="54">
                  <c:v>90.867587925858189</c:v>
                </c:pt>
                <c:pt idx="55">
                  <c:v>90.433820075668208</c:v>
                </c:pt>
              </c:numCache>
            </c:numRef>
          </c:yVal>
          <c:smooth val="1"/>
        </c:ser>
        <c:dLbls>
          <c:showLegendKey val="0"/>
          <c:showVal val="0"/>
          <c:showCatName val="0"/>
          <c:showSerName val="0"/>
          <c:showPercent val="0"/>
          <c:showBubbleSize val="0"/>
        </c:dLbls>
        <c:axId val="129231488"/>
        <c:axId val="129229568"/>
      </c:scatterChart>
      <c:valAx>
        <c:axId val="129221376"/>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29223296"/>
        <c:crosses val="autoZero"/>
        <c:crossBetween val="midCat"/>
      </c:valAx>
      <c:valAx>
        <c:axId val="129223296"/>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29221376"/>
        <c:crosses val="autoZero"/>
        <c:crossBetween val="midCat"/>
        <c:majorUnit val="20"/>
      </c:valAx>
      <c:valAx>
        <c:axId val="12922956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9231488"/>
        <c:crosses val="max"/>
        <c:crossBetween val="midCat"/>
      </c:valAx>
      <c:valAx>
        <c:axId val="129231488"/>
        <c:scaling>
          <c:logBase val="10"/>
          <c:orientation val="minMax"/>
        </c:scaling>
        <c:delete val="1"/>
        <c:axPos val="b"/>
        <c:majorGridlines/>
        <c:minorGridlines/>
        <c:numFmt formatCode="##0.000E+0" sourceLinked="1"/>
        <c:majorTickMark val="out"/>
        <c:minorTickMark val="none"/>
        <c:tickLblPos val="nextTo"/>
        <c:crossAx val="129229568"/>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Non-Isolated Compensation</a:t>
            </a:r>
            <a:endParaRPr lang="en-US">
              <a:effectLst/>
            </a:endParaRPr>
          </a:p>
        </c:rich>
      </c:tx>
      <c:overlay val="0"/>
    </c:title>
    <c:autoTitleDeleted val="0"/>
    <c:plotArea>
      <c:layout>
        <c:manualLayout>
          <c:layoutTarget val="inner"/>
          <c:xMode val="edge"/>
          <c:yMode val="edge"/>
          <c:x val="0.1274626088405616"/>
          <c:y val="0.1510505249343832"/>
          <c:w val="0.74697891930175397"/>
          <c:h val="0.68833595800524938"/>
        </c:manualLayout>
      </c:layout>
      <c:scatterChart>
        <c:scatterStyle val="smoothMarker"/>
        <c:varyColors val="0"/>
        <c:ser>
          <c:idx val="0"/>
          <c:order val="0"/>
          <c:tx>
            <c:v>Non 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Flyback_DCM_Calc!$DH$4:$DH$59</c:f>
              <c:numCache>
                <c:formatCode>General</c:formatCode>
                <c:ptCount val="56"/>
                <c:pt idx="0">
                  <c:v>33.343040164608141</c:v>
                </c:pt>
                <c:pt idx="1">
                  <c:v>27.322469655165378</c:v>
                </c:pt>
                <c:pt idx="2">
                  <c:v>23.800693480001613</c:v>
                </c:pt>
                <c:pt idx="3">
                  <c:v>21.301987355231088</c:v>
                </c:pt>
                <c:pt idx="4">
                  <c:v>19.363875302976659</c:v>
                </c:pt>
                <c:pt idx="5">
                  <c:v>17.780358189240925</c:v>
                </c:pt>
                <c:pt idx="6">
                  <c:v>16.441549801687525</c:v>
                </c:pt>
                <c:pt idx="7">
                  <c:v>15.281857863299928</c:v>
                </c:pt>
                <c:pt idx="8">
                  <c:v>14.258974009624286</c:v>
                </c:pt>
                <c:pt idx="9">
                  <c:v>13.344010385520582</c:v>
                </c:pt>
                <c:pt idx="10">
                  <c:v>7.3263492050873218</c:v>
                </c:pt>
                <c:pt idx="11">
                  <c:v>3.8094174718746125</c:v>
                </c:pt>
                <c:pt idx="12">
                  <c:v>1.317484263441437</c:v>
                </c:pt>
                <c:pt idx="13">
                  <c:v>-0.61193565018783203</c:v>
                </c:pt>
                <c:pt idx="14">
                  <c:v>-2.1848532272476855</c:v>
                </c:pt>
                <c:pt idx="15">
                  <c:v>-3.5111690238848814</c:v>
                </c:pt>
                <c:pt idx="16">
                  <c:v>-4.656492117260294</c:v>
                </c:pt>
                <c:pt idx="17">
                  <c:v>-5.6631500549724798</c:v>
                </c:pt>
                <c:pt idx="18">
                  <c:v>-6.560052175540557</c:v>
                </c:pt>
                <c:pt idx="19">
                  <c:v>-12.302308189779778</c:v>
                </c:pt>
                <c:pt idx="20">
                  <c:v>-15.396750720765366</c:v>
                </c:pt>
                <c:pt idx="21">
                  <c:v>-17.360486898928041</c:v>
                </c:pt>
                <c:pt idx="22">
                  <c:v>-18.695967380159651</c:v>
                </c:pt>
                <c:pt idx="23">
                  <c:v>-19.641862913845959</c:v>
                </c:pt>
                <c:pt idx="24">
                  <c:v>-20.331917499938346</c:v>
                </c:pt>
                <c:pt idx="25">
                  <c:v>-20.84775733722217</c:v>
                </c:pt>
                <c:pt idx="26">
                  <c:v>-21.241728505204392</c:v>
                </c:pt>
                <c:pt idx="27">
                  <c:v>-21.54853323853699</c:v>
                </c:pt>
                <c:pt idx="28">
                  <c:v>-22.766184211295652</c:v>
                </c:pt>
                <c:pt idx="29">
                  <c:v>-23.148832372206964</c:v>
                </c:pt>
                <c:pt idx="30">
                  <c:v>-23.421883345386718</c:v>
                </c:pt>
                <c:pt idx="31">
                  <c:v>-23.688849617656974</c:v>
                </c:pt>
                <c:pt idx="32">
                  <c:v>-23.971735204216806</c:v>
                </c:pt>
                <c:pt idx="33">
                  <c:v>-24.273957650033537</c:v>
                </c:pt>
                <c:pt idx="34">
                  <c:v>-24.593478235900413</c:v>
                </c:pt>
                <c:pt idx="35">
                  <c:v>-24.926639043551077</c:v>
                </c:pt>
                <c:pt idx="36">
                  <c:v>-25.26953728796024</c:v>
                </c:pt>
                <c:pt idx="37">
                  <c:v>-28.675742085444149</c:v>
                </c:pt>
                <c:pt idx="38">
                  <c:v>-31.473757281095192</c:v>
                </c:pt>
                <c:pt idx="39">
                  <c:v>-33.687482919861566</c:v>
                </c:pt>
                <c:pt idx="40">
                  <c:v>-35.487089087186312</c:v>
                </c:pt>
                <c:pt idx="41">
                  <c:v>-36.993520445669134</c:v>
                </c:pt>
                <c:pt idx="42">
                  <c:v>-38.285234976603718</c:v>
                </c:pt>
                <c:pt idx="43">
                  <c:v>-39.414146760567547</c:v>
                </c:pt>
                <c:pt idx="44">
                  <c:v>-40.415864912314269</c:v>
                </c:pt>
                <c:pt idx="45">
                  <c:v>-41.315690937209773</c:v>
                </c:pt>
                <c:pt idx="46">
                  <c:v>-47.286926897007262</c:v>
                </c:pt>
                <c:pt idx="47">
                  <c:v>-50.799548348094412</c:v>
                </c:pt>
                <c:pt idx="48">
                  <c:v>-53.295097134447388</c:v>
                </c:pt>
                <c:pt idx="49">
                  <c:v>-55.231803426226108</c:v>
                </c:pt>
                <c:pt idx="50">
                  <c:v>-56.814616592093394</c:v>
                </c:pt>
                <c:pt idx="51">
                  <c:v>-58.153062848232523</c:v>
                </c:pt>
                <c:pt idx="52">
                  <c:v>-59.312584030084224</c:v>
                </c:pt>
                <c:pt idx="53">
                  <c:v>-60.335416611885137</c:v>
                </c:pt>
                <c:pt idx="54">
                  <c:v>-61.25041057726628</c:v>
                </c:pt>
                <c:pt idx="55">
                  <c:v>-67.270512156255776</c:v>
                </c:pt>
              </c:numCache>
            </c:numRef>
          </c:yVal>
          <c:smooth val="1"/>
        </c:ser>
        <c:dLbls>
          <c:showLegendKey val="0"/>
          <c:showVal val="0"/>
          <c:showCatName val="0"/>
          <c:showSerName val="0"/>
          <c:showPercent val="0"/>
          <c:showBubbleSize val="0"/>
        </c:dLbls>
        <c:axId val="130077440"/>
        <c:axId val="130079360"/>
      </c:scatterChart>
      <c:scatterChart>
        <c:scatterStyle val="smoothMarker"/>
        <c:varyColors val="0"/>
        <c:ser>
          <c:idx val="1"/>
          <c:order val="1"/>
          <c:tx>
            <c:v>Non 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Flyback_DCM_Calc!$DI$4:$DI$59</c:f>
              <c:numCache>
                <c:formatCode>General</c:formatCode>
                <c:ptCount val="56"/>
                <c:pt idx="0">
                  <c:v>90.08157305497754</c:v>
                </c:pt>
                <c:pt idx="1">
                  <c:v>90.163145719822438</c:v>
                </c:pt>
                <c:pt idx="2">
                  <c:v>90.244717604412628</c:v>
                </c:pt>
                <c:pt idx="3">
                  <c:v>90.326288318647272</c:v>
                </c:pt>
                <c:pt idx="4">
                  <c:v>90.407857472457309</c:v>
                </c:pt>
                <c:pt idx="5">
                  <c:v>90.489424675816053</c:v>
                </c:pt>
                <c:pt idx="6">
                  <c:v>90.570989538749785</c:v>
                </c:pt>
                <c:pt idx="7">
                  <c:v>90.652551671348377</c:v>
                </c:pt>
                <c:pt idx="8">
                  <c:v>90.734110683775825</c:v>
                </c:pt>
                <c:pt idx="9">
                  <c:v>90.815666186280808</c:v>
                </c:pt>
                <c:pt idx="10">
                  <c:v>91.630942502031729</c:v>
                </c:pt>
                <c:pt idx="11">
                  <c:v>92.445440134110598</c:v>
                </c:pt>
                <c:pt idx="12">
                  <c:v>93.258772376992638</c:v>
                </c:pt>
                <c:pt idx="13">
                  <c:v>94.07055566877419</c:v>
                </c:pt>
                <c:pt idx="14">
                  <c:v>94.880410606060948</c:v>
                </c:pt>
                <c:pt idx="15">
                  <c:v>95.687962931116218</c:v>
                </c:pt>
                <c:pt idx="16">
                  <c:v>96.49284448498544</c:v>
                </c:pt>
                <c:pt idx="17">
                  <c:v>97.294694120732473</c:v>
                </c:pt>
                <c:pt idx="18">
                  <c:v>98.093158571400181</c:v>
                </c:pt>
                <c:pt idx="19">
                  <c:v>105.82099673700513</c:v>
                </c:pt>
                <c:pt idx="20">
                  <c:v>112.90395105507586</c:v>
                </c:pt>
                <c:pt idx="21">
                  <c:v>119.18914918062832</c:v>
                </c:pt>
                <c:pt idx="22">
                  <c:v>124.63993922213001</c:v>
                </c:pt>
                <c:pt idx="23">
                  <c:v>129.29854086490499</c:v>
                </c:pt>
                <c:pt idx="24">
                  <c:v>133.24760226062426</c:v>
                </c:pt>
                <c:pt idx="25">
                  <c:v>136.58270864733316</c:v>
                </c:pt>
                <c:pt idx="26">
                  <c:v>139.3967638002145</c:v>
                </c:pt>
                <c:pt idx="27">
                  <c:v>141.77287876691798</c:v>
                </c:pt>
                <c:pt idx="28">
                  <c:v>152.44444565095247</c:v>
                </c:pt>
                <c:pt idx="29">
                  <c:v>153.89332515873008</c:v>
                </c:pt>
                <c:pt idx="30">
                  <c:v>152.66958563504002</c:v>
                </c:pt>
                <c:pt idx="31">
                  <c:v>150.44696835330072</c:v>
                </c:pt>
                <c:pt idx="32">
                  <c:v>147.83478528778608</c:v>
                </c:pt>
                <c:pt idx="33">
                  <c:v>145.10552859779852</c:v>
                </c:pt>
                <c:pt idx="34">
                  <c:v>142.39555549549374</c:v>
                </c:pt>
                <c:pt idx="35">
                  <c:v>139.77627575533387</c:v>
                </c:pt>
                <c:pt idx="36">
                  <c:v>137.2844865520708</c:v>
                </c:pt>
                <c:pt idx="37">
                  <c:v>119.86957944813931</c:v>
                </c:pt>
                <c:pt idx="38">
                  <c:v>111.16732057394651</c:v>
                </c:pt>
                <c:pt idx="39">
                  <c:v>106.25511446738356</c:v>
                </c:pt>
                <c:pt idx="40">
                  <c:v>103.15323469349701</c:v>
                </c:pt>
                <c:pt idx="41">
                  <c:v>101.03060164923276</c:v>
                </c:pt>
                <c:pt idx="42">
                  <c:v>99.491385977810907</c:v>
                </c:pt>
                <c:pt idx="43">
                  <c:v>98.325966141691495</c:v>
                </c:pt>
                <c:pt idx="44">
                  <c:v>97.413751859648841</c:v>
                </c:pt>
                <c:pt idx="45">
                  <c:v>96.680719096970549</c:v>
                </c:pt>
                <c:pt idx="46">
                  <c:v>93.353816568005584</c:v>
                </c:pt>
                <c:pt idx="47">
                  <c:v>92.237552625098246</c:v>
                </c:pt>
                <c:pt idx="48">
                  <c:v>91.678604891631863</c:v>
                </c:pt>
                <c:pt idx="49">
                  <c:v>91.343047102290612</c:v>
                </c:pt>
                <c:pt idx="50">
                  <c:v>91.119279813740704</c:v>
                </c:pt>
                <c:pt idx="51">
                  <c:v>90.959420895626053</c:v>
                </c:pt>
                <c:pt idx="52">
                  <c:v>90.839514979150678</c:v>
                </c:pt>
                <c:pt idx="53">
                  <c:v>90.746248759647102</c:v>
                </c:pt>
                <c:pt idx="54">
                  <c:v>90.671632396382051</c:v>
                </c:pt>
                <c:pt idx="55">
                  <c:v>90.335829808543366</c:v>
                </c:pt>
              </c:numCache>
            </c:numRef>
          </c:yVal>
          <c:smooth val="1"/>
        </c:ser>
        <c:dLbls>
          <c:showLegendKey val="0"/>
          <c:showVal val="0"/>
          <c:showCatName val="0"/>
          <c:showSerName val="0"/>
          <c:showPercent val="0"/>
          <c:showBubbleSize val="0"/>
        </c:dLbls>
        <c:axId val="130083456"/>
        <c:axId val="130081536"/>
      </c:scatterChart>
      <c:valAx>
        <c:axId val="130077440"/>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30079360"/>
        <c:crosses val="autoZero"/>
        <c:crossBetween val="midCat"/>
      </c:valAx>
      <c:valAx>
        <c:axId val="130079360"/>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30077440"/>
        <c:crosses val="autoZero"/>
        <c:crossBetween val="midCat"/>
        <c:majorUnit val="20"/>
      </c:valAx>
      <c:valAx>
        <c:axId val="13008153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30083456"/>
        <c:crosses val="max"/>
        <c:crossBetween val="midCat"/>
        <c:majorUnit val="45"/>
      </c:valAx>
      <c:valAx>
        <c:axId val="130083456"/>
        <c:scaling>
          <c:logBase val="10"/>
          <c:orientation val="minMax"/>
        </c:scaling>
        <c:delete val="1"/>
        <c:axPos val="b"/>
        <c:majorGridlines/>
        <c:minorGridlines/>
        <c:numFmt formatCode="##0.000E+0" sourceLinked="1"/>
        <c:majorTickMark val="out"/>
        <c:minorTickMark val="none"/>
        <c:tickLblPos val="nextTo"/>
        <c:crossAx val="130081536"/>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Isolated Voltage Loop {VIN MIN, FULL LOAD}</a:t>
            </a:r>
            <a:endParaRPr lang="en-US" sz="1800">
              <a:effectLst/>
            </a:endParaRPr>
          </a:p>
        </c:rich>
      </c:tx>
      <c:overlay val="1"/>
    </c:title>
    <c:autoTitleDeleted val="0"/>
    <c:plotArea>
      <c:layout>
        <c:manualLayout>
          <c:layoutTarget val="inner"/>
          <c:xMode val="edge"/>
          <c:yMode val="edge"/>
          <c:x val="0.1274626088405616"/>
          <c:y val="0.16316105346644755"/>
          <c:w val="0.74697891930175397"/>
          <c:h val="0.67622537836975993"/>
        </c:manualLayout>
      </c:layout>
      <c:scatterChart>
        <c:scatterStyle val="smoothMarker"/>
        <c:varyColors val="0"/>
        <c:ser>
          <c:idx val="0"/>
          <c:order val="0"/>
          <c:tx>
            <c:v>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Flyback_DCM_Calc!$DN$4:$DN$59</c:f>
              <c:numCache>
                <c:formatCode>General</c:formatCode>
                <c:ptCount val="56"/>
                <c:pt idx="0">
                  <c:v>89.181542543073391</c:v>
                </c:pt>
                <c:pt idx="1">
                  <c:v>83.159198136388071</c:v>
                </c:pt>
                <c:pt idx="2">
                  <c:v>79.634467398184142</c:v>
                </c:pt>
                <c:pt idx="3">
                  <c:v>77.131628936979922</c:v>
                </c:pt>
                <c:pt idx="4">
                  <c:v>75.188210812019776</c:v>
                </c:pt>
                <c:pt idx="5">
                  <c:v>73.598219058993124</c:v>
                </c:pt>
                <c:pt idx="6">
                  <c:v>72.251773752322492</c:v>
                </c:pt>
                <c:pt idx="7">
                  <c:v>71.083290000084148</c:v>
                </c:pt>
                <c:pt idx="8">
                  <c:v>70.050467899382696</c:v>
                </c:pt>
                <c:pt idx="9">
                  <c:v>69.124429108238118</c:v>
                </c:pt>
                <c:pt idx="10">
                  <c:v>62.936267564975807</c:v>
                </c:pt>
                <c:pt idx="11">
                  <c:v>59.152071260175006</c:v>
                </c:pt>
                <c:pt idx="12">
                  <c:v>56.316959073135706</c:v>
                </c:pt>
                <c:pt idx="13">
                  <c:v>53.990842348377399</c:v>
                </c:pt>
                <c:pt idx="14">
                  <c:v>51.98837476454959</c:v>
                </c:pt>
                <c:pt idx="15">
                  <c:v>50.216808576836463</c:v>
                </c:pt>
                <c:pt idx="16">
                  <c:v>48.623679159307841</c:v>
                </c:pt>
                <c:pt idx="17">
                  <c:v>47.176086809441856</c:v>
                </c:pt>
                <c:pt idx="18">
                  <c:v>45.851470568320842</c:v>
                </c:pt>
                <c:pt idx="19">
                  <c:v>36.873374142217742</c:v>
                </c:pt>
                <c:pt idx="20">
                  <c:v>31.922354454606733</c:v>
                </c:pt>
                <c:pt idx="21">
                  <c:v>28.703022359019908</c:v>
                </c:pt>
                <c:pt idx="22">
                  <c:v>26.366856195105814</c:v>
                </c:pt>
                <c:pt idx="23">
                  <c:v>24.544357192283094</c:v>
                </c:pt>
                <c:pt idx="24">
                  <c:v>23.051778857225514</c:v>
                </c:pt>
                <c:pt idx="25">
                  <c:v>21.787321950169854</c:v>
                </c:pt>
                <c:pt idx="26">
                  <c:v>20.689548093458175</c:v>
                </c:pt>
                <c:pt idx="27">
                  <c:v>19.718791450090976</c:v>
                </c:pt>
                <c:pt idx="28">
                  <c:v>13.472281969444481</c:v>
                </c:pt>
                <c:pt idx="29">
                  <c:v>9.829817449198881</c:v>
                </c:pt>
                <c:pt idx="30">
                  <c:v>7.1995949347264103</c:v>
                </c:pt>
                <c:pt idx="31">
                  <c:v>5.106770080262951</c:v>
                </c:pt>
                <c:pt idx="32">
                  <c:v>3.3447358630999471</c:v>
                </c:pt>
                <c:pt idx="33">
                  <c:v>1.805700332897576</c:v>
                </c:pt>
                <c:pt idx="34">
                  <c:v>0.42698032320776669</c:v>
                </c:pt>
                <c:pt idx="35">
                  <c:v>-0.83062215630813618</c:v>
                </c:pt>
                <c:pt idx="36">
                  <c:v>-1.9929518531211965</c:v>
                </c:pt>
                <c:pt idx="37">
                  <c:v>-10.69543456773707</c:v>
                </c:pt>
                <c:pt idx="38">
                  <c:v>-16.595179389836527</c:v>
                </c:pt>
                <c:pt idx="39">
                  <c:v>-20.990431962585085</c:v>
                </c:pt>
                <c:pt idx="40">
                  <c:v>-24.430949234655166</c:v>
                </c:pt>
                <c:pt idx="41">
                  <c:v>-27.216890300964923</c:v>
                </c:pt>
                <c:pt idx="42">
                  <c:v>-29.529465460657775</c:v>
                </c:pt>
                <c:pt idx="43">
                  <c:v>-31.486168509803917</c:v>
                </c:pt>
                <c:pt idx="44">
                  <c:v>-33.167461226869278</c:v>
                </c:pt>
                <c:pt idx="45">
                  <c:v>-34.630806584611335</c:v>
                </c:pt>
                <c:pt idx="46">
                  <c:v>-43.170647156284197</c:v>
                </c:pt>
                <c:pt idx="47">
                  <c:v>-47.391366518997138</c:v>
                </c:pt>
                <c:pt idx="48">
                  <c:v>-50.165245286927373</c:v>
                </c:pt>
                <c:pt idx="49">
                  <c:v>-52.237157547867241</c:v>
                </c:pt>
                <c:pt idx="50">
                  <c:v>-53.895241127963935</c:v>
                </c:pt>
                <c:pt idx="51">
                  <c:v>-55.279719180261438</c:v>
                </c:pt>
                <c:pt idx="52">
                  <c:v>-56.46938305125208</c:v>
                </c:pt>
                <c:pt idx="53">
                  <c:v>-57.513004306596919</c:v>
                </c:pt>
                <c:pt idx="54">
                  <c:v>-58.442930270170962</c:v>
                </c:pt>
                <c:pt idx="55">
                  <c:v>-64.511126347920509</c:v>
                </c:pt>
              </c:numCache>
            </c:numRef>
          </c:yVal>
          <c:smooth val="1"/>
        </c:ser>
        <c:dLbls>
          <c:showLegendKey val="0"/>
          <c:showVal val="0"/>
          <c:showCatName val="0"/>
          <c:showSerName val="0"/>
          <c:showPercent val="0"/>
          <c:showBubbleSize val="0"/>
        </c:dLbls>
        <c:axId val="130401024"/>
        <c:axId val="130402944"/>
      </c:scatterChart>
      <c:scatterChart>
        <c:scatterStyle val="smoothMarker"/>
        <c:varyColors val="0"/>
        <c:ser>
          <c:idx val="1"/>
          <c:order val="1"/>
          <c:tx>
            <c:v>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Flyback_DCM_Calc!$DO$4:$DO$59</c:f>
              <c:numCache>
                <c:formatCode>General</c:formatCode>
                <c:ptCount val="56"/>
                <c:pt idx="0">
                  <c:v>89.52517948227387</c:v>
                </c:pt>
                <c:pt idx="1">
                  <c:v>89.050562182586802</c:v>
                </c:pt>
                <c:pt idx="2">
                  <c:v>88.576350941322801</c:v>
                </c:pt>
                <c:pt idx="3">
                  <c:v>88.102747845258804</c:v>
                </c:pt>
                <c:pt idx="4">
                  <c:v>87.629953855004914</c:v>
                </c:pt>
                <c:pt idx="5">
                  <c:v>87.158168437497054</c:v>
                </c:pt>
                <c:pt idx="6">
                  <c:v>86.687589205160805</c:v>
                </c:pt>
                <c:pt idx="7">
                  <c:v>86.218411563309502</c:v>
                </c:pt>
                <c:pt idx="8">
                  <c:v>85.750828367272291</c:v>
                </c:pt>
                <c:pt idx="9">
                  <c:v>85.285029590668543</c:v>
                </c:pt>
                <c:pt idx="10">
                  <c:v>80.764324163462135</c:v>
                </c:pt>
                <c:pt idx="11">
                  <c:v>76.599398303821147</c:v>
                </c:pt>
                <c:pt idx="12">
                  <c:v>72.898614585007707</c:v>
                </c:pt>
                <c:pt idx="13">
                  <c:v>69.713629180111667</c:v>
                </c:pt>
                <c:pt idx="14">
                  <c:v>67.048665045855614</c:v>
                </c:pt>
                <c:pt idx="15">
                  <c:v>64.875199404982624</c:v>
                </c:pt>
                <c:pt idx="16">
                  <c:v>63.146142142742995</c:v>
                </c:pt>
                <c:pt idx="17">
                  <c:v>61.806688086984799</c:v>
                </c:pt>
                <c:pt idx="18">
                  <c:v>60.801409314985918</c:v>
                </c:pt>
                <c:pt idx="19">
                  <c:v>60.356923470918872</c:v>
                </c:pt>
                <c:pt idx="20">
                  <c:v>64.586912211221303</c:v>
                </c:pt>
                <c:pt idx="21">
                  <c:v>68.361993758670678</c:v>
                </c:pt>
                <c:pt idx="22">
                  <c:v>71.20053233291685</c:v>
                </c:pt>
                <c:pt idx="23">
                  <c:v>73.282534373293188</c:v>
                </c:pt>
                <c:pt idx="24">
                  <c:v>74.816282816401284</c:v>
                </c:pt>
                <c:pt idx="25">
                  <c:v>75.956618662797752</c:v>
                </c:pt>
                <c:pt idx="26">
                  <c:v>76.810583022462382</c:v>
                </c:pt>
                <c:pt idx="27">
                  <c:v>77.451815250763815</c:v>
                </c:pt>
                <c:pt idx="28">
                  <c:v>78.781711217825219</c:v>
                </c:pt>
                <c:pt idx="29">
                  <c:v>77.194592683560359</c:v>
                </c:pt>
                <c:pt idx="30">
                  <c:v>74.915392743240943</c:v>
                </c:pt>
                <c:pt idx="31">
                  <c:v>72.430672675474241</c:v>
                </c:pt>
                <c:pt idx="32">
                  <c:v>69.915468737502124</c:v>
                </c:pt>
                <c:pt idx="33">
                  <c:v>67.450897478250809</c:v>
                </c:pt>
                <c:pt idx="34">
                  <c:v>65.079812797918137</c:v>
                </c:pt>
                <c:pt idx="35">
                  <c:v>62.825886835089804</c:v>
                </c:pt>
                <c:pt idx="36">
                  <c:v>60.701692220994218</c:v>
                </c:pt>
                <c:pt idx="37">
                  <c:v>46.381652561499564</c:v>
                </c:pt>
                <c:pt idx="38">
                  <c:v>40.610727991058383</c:v>
                </c:pt>
                <c:pt idx="39">
                  <c:v>38.901174134348167</c:v>
                </c:pt>
                <c:pt idx="40">
                  <c:v>39.134641377258887</c:v>
                </c:pt>
                <c:pt idx="41">
                  <c:v>40.337565088216962</c:v>
                </c:pt>
                <c:pt idx="42">
                  <c:v>42.024177406907079</c:v>
                </c:pt>
                <c:pt idx="43">
                  <c:v>43.933749235081535</c:v>
                </c:pt>
                <c:pt idx="44">
                  <c:v>45.919526499187192</c:v>
                </c:pt>
                <c:pt idx="45">
                  <c:v>47.897100417002406</c:v>
                </c:pt>
                <c:pt idx="46">
                  <c:v>62.880760594913561</c:v>
                </c:pt>
                <c:pt idx="47">
                  <c:v>70.705343963934496</c:v>
                </c:pt>
                <c:pt idx="48">
                  <c:v>75.162116383055093</c:v>
                </c:pt>
                <c:pt idx="49">
                  <c:v>77.985715121236069</c:v>
                </c:pt>
                <c:pt idx="50">
                  <c:v>79.920972964921205</c:v>
                </c:pt>
                <c:pt idx="51">
                  <c:v>81.325550091654094</c:v>
                </c:pt>
                <c:pt idx="52">
                  <c:v>82.389604208140383</c:v>
                </c:pt>
                <c:pt idx="53">
                  <c:v>83.222773742366456</c:v>
                </c:pt>
                <c:pt idx="54">
                  <c:v>83.892454432605518</c:v>
                </c:pt>
                <c:pt idx="55">
                  <c:v>86.933257374777398</c:v>
                </c:pt>
              </c:numCache>
            </c:numRef>
          </c:yVal>
          <c:smooth val="1"/>
        </c:ser>
        <c:dLbls>
          <c:showLegendKey val="0"/>
          <c:showVal val="0"/>
          <c:showCatName val="0"/>
          <c:showSerName val="0"/>
          <c:showPercent val="0"/>
          <c:showBubbleSize val="0"/>
        </c:dLbls>
        <c:axId val="130411136"/>
        <c:axId val="130409216"/>
      </c:scatterChart>
      <c:valAx>
        <c:axId val="130401024"/>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30402944"/>
        <c:crosses val="autoZero"/>
        <c:crossBetween val="midCat"/>
      </c:valAx>
      <c:valAx>
        <c:axId val="13040294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30401024"/>
        <c:crosses val="autoZero"/>
        <c:crossBetween val="midCat"/>
        <c:majorUnit val="20"/>
      </c:valAx>
      <c:valAx>
        <c:axId val="13040921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30411136"/>
        <c:crosses val="max"/>
        <c:crossBetween val="midCat"/>
        <c:majorUnit val="90"/>
      </c:valAx>
      <c:valAx>
        <c:axId val="130411136"/>
        <c:scaling>
          <c:logBase val="10"/>
          <c:orientation val="minMax"/>
        </c:scaling>
        <c:delete val="1"/>
        <c:axPos val="b"/>
        <c:majorGridlines/>
        <c:minorGridlines/>
        <c:numFmt formatCode="##0.000E+0" sourceLinked="1"/>
        <c:majorTickMark val="out"/>
        <c:minorTickMark val="none"/>
        <c:tickLblPos val="nextTo"/>
        <c:crossAx val="130409216"/>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Non-Isolated Voltage Loop {VIN MIN, FULL LOAD}</a:t>
            </a:r>
            <a:endParaRPr lang="en-US" sz="1600">
              <a:effectLst/>
            </a:endParaRPr>
          </a:p>
        </c:rich>
      </c:tx>
      <c:overlay val="0"/>
    </c:title>
    <c:autoTitleDeleted val="0"/>
    <c:plotArea>
      <c:layout>
        <c:manualLayout>
          <c:layoutTarget val="inner"/>
          <c:xMode val="edge"/>
          <c:yMode val="edge"/>
          <c:x val="0.1274626088405616"/>
          <c:y val="0.13050428257596328"/>
          <c:w val="0.74697891930175397"/>
          <c:h val="0.70888192267502614"/>
        </c:manualLayout>
      </c:layout>
      <c:scatterChart>
        <c:scatterStyle val="smoothMarker"/>
        <c:varyColors val="0"/>
        <c:ser>
          <c:idx val="0"/>
          <c:order val="0"/>
          <c:tx>
            <c:v>Non 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Flyback_DCM_Calc!$DL$4:$DL$59</c:f>
              <c:numCache>
                <c:formatCode>General</c:formatCode>
                <c:ptCount val="56"/>
                <c:pt idx="0">
                  <c:v>82.190228658394332</c:v>
                </c:pt>
                <c:pt idx="1">
                  <c:v>76.167703038113729</c:v>
                </c:pt>
                <c:pt idx="2">
                  <c:v>72.642670299514535</c:v>
                </c:pt>
                <c:pt idx="3">
                  <c:v>70.139409084502716</c:v>
                </c:pt>
                <c:pt idx="4">
                  <c:v>68.195447499049891</c:v>
                </c:pt>
                <c:pt idx="5">
                  <c:v>66.604791638897055</c:v>
                </c:pt>
                <c:pt idx="6">
                  <c:v>65.257561651823011</c:v>
                </c:pt>
                <c:pt idx="7">
                  <c:v>64.088172732540627</c:v>
                </c:pt>
                <c:pt idx="8">
                  <c:v>63.05432507804332</c:v>
                </c:pt>
                <c:pt idx="9">
                  <c:v>62.127140459459135</c:v>
                </c:pt>
                <c:pt idx="10">
                  <c:v>55.920939840090043</c:v>
                </c:pt>
                <c:pt idx="11">
                  <c:v>52.106897702719579</c:v>
                </c:pt>
                <c:pt idx="12">
                  <c:v>49.23045444984713</c:v>
                </c:pt>
                <c:pt idx="13">
                  <c:v>46.85195722407159</c:v>
                </c:pt>
                <c:pt idx="14">
                  <c:v>44.786596557358607</c:v>
                </c:pt>
                <c:pt idx="15">
                  <c:v>42.942247073150263</c:v>
                </c:pt>
                <c:pt idx="16">
                  <c:v>41.267135045835467</c:v>
                </c:pt>
                <c:pt idx="17">
                  <c:v>39.729102657201935</c:v>
                </c:pt>
                <c:pt idx="18">
                  <c:v>38.306364510918833</c:v>
                </c:pt>
                <c:pt idx="19">
                  <c:v>28.091668657821359</c:v>
                </c:pt>
                <c:pt idx="20">
                  <c:v>21.834291536459951</c:v>
                </c:pt>
                <c:pt idx="21">
                  <c:v>17.504757793814878</c:v>
                </c:pt>
                <c:pt idx="22">
                  <c:v>14.294048833229084</c:v>
                </c:pt>
                <c:pt idx="23">
                  <c:v>11.799139267534084</c:v>
                </c:pt>
                <c:pt idx="24">
                  <c:v>9.7911704508571056</c:v>
                </c:pt>
                <c:pt idx="25">
                  <c:v>8.1292089495386293</c:v>
                </c:pt>
                <c:pt idx="26">
                  <c:v>6.7216362488301762</c:v>
                </c:pt>
                <c:pt idx="27">
                  <c:v>5.5064727785519167</c:v>
                </c:pt>
                <c:pt idx="28">
                  <c:v>-1.7093010604725727</c:v>
                </c:pt>
                <c:pt idx="29">
                  <c:v>-5.6083129633353792</c:v>
                </c:pt>
                <c:pt idx="30">
                  <c:v>-8.3767065455495953</c:v>
                </c:pt>
                <c:pt idx="31">
                  <c:v>-10.578618132690742</c:v>
                </c:pt>
                <c:pt idx="32">
                  <c:v>-12.441594294432626</c:v>
                </c:pt>
                <c:pt idx="33">
                  <c:v>-14.07878319785112</c:v>
                </c:pt>
                <c:pt idx="34">
                  <c:v>-15.553674359621835</c:v>
                </c:pt>
                <c:pt idx="35">
                  <c:v>-16.904888631397419</c:v>
                </c:pt>
                <c:pt idx="36">
                  <c:v>-18.157396529029768</c:v>
                </c:pt>
                <c:pt idx="37">
                  <c:v>-27.498481160230018</c:v>
                </c:pt>
                <c:pt idx="38">
                  <c:v>-33.679413847764231</c:v>
                </c:pt>
                <c:pt idx="39">
                  <c:v>-38.204656130729049</c:v>
                </c:pt>
                <c:pt idx="40">
                  <c:v>-41.712999461222914</c:v>
                </c:pt>
                <c:pt idx="41">
                  <c:v>-44.538132020709099</c:v>
                </c:pt>
                <c:pt idx="42">
                  <c:v>-46.875200941615134</c:v>
                </c:pt>
                <c:pt idx="43">
                  <c:v>-48.84816485889359</c:v>
                </c:pt>
                <c:pt idx="44">
                  <c:v>-50.540776222587482</c:v>
                </c:pt>
                <c:pt idx="45">
                  <c:v>-52.012304418799289</c:v>
                </c:pt>
                <c:pt idx="46">
                  <c:v>-60.578806167344034</c:v>
                </c:pt>
                <c:pt idx="47">
                  <c:v>-64.804547829696276</c:v>
                </c:pt>
                <c:pt idx="48">
                  <c:v>-67.580190797638025</c:v>
                </c:pt>
                <c:pt idx="49">
                  <c:v>-69.65292075844269</c:v>
                </c:pt>
                <c:pt idx="50">
                  <c:v>-71.311448820676404</c:v>
                </c:pt>
                <c:pt idx="51">
                  <c:v>-72.696194983663077</c:v>
                </c:pt>
                <c:pt idx="52">
                  <c:v>-73.886032909879532</c:v>
                </c:pt>
                <c:pt idx="53">
                  <c:v>-74.929773515603202</c:v>
                </c:pt>
                <c:pt idx="54">
                  <c:v>-75.859784859129704</c:v>
                </c:pt>
                <c:pt idx="55">
                  <c:v>-81.928253980264245</c:v>
                </c:pt>
              </c:numCache>
            </c:numRef>
          </c:yVal>
          <c:smooth val="1"/>
        </c:ser>
        <c:dLbls>
          <c:showLegendKey val="0"/>
          <c:showVal val="0"/>
          <c:showCatName val="0"/>
          <c:showSerName val="0"/>
          <c:showPercent val="0"/>
          <c:showBubbleSize val="0"/>
        </c:dLbls>
        <c:axId val="130441984"/>
        <c:axId val="130443904"/>
      </c:scatterChart>
      <c:scatterChart>
        <c:scatterStyle val="smoothMarker"/>
        <c:varyColors val="0"/>
        <c:ser>
          <c:idx val="1"/>
          <c:order val="1"/>
          <c:tx>
            <c:v>Non 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Flyback_DCM_Calc!$DM$4:$DM$59</c:f>
              <c:numCache>
                <c:formatCode>General</c:formatCode>
                <c:ptCount val="56"/>
                <c:pt idx="0">
                  <c:v>89.380076179117765</c:v>
                </c:pt>
                <c:pt idx="1">
                  <c:v>88.760362637050889</c:v>
                </c:pt>
                <c:pt idx="2">
                  <c:v>88.141069273524607</c:v>
                </c:pt>
                <c:pt idx="3">
                  <c:v>87.522405231787715</c:v>
                </c:pt>
                <c:pt idx="4">
                  <c:v>86.904578524619808</c:v>
                </c:pt>
                <c:pt idx="5">
                  <c:v>86.287795665393091</c:v>
                </c:pt>
                <c:pt idx="6">
                  <c:v>85.672261305808163</c:v>
                </c:pt>
                <c:pt idx="7">
                  <c:v>85.05817788186755</c:v>
                </c:pt>
                <c:pt idx="8">
                  <c:v>84.445745269583398</c:v>
                </c:pt>
                <c:pt idx="9">
                  <c:v>83.835160451836288</c:v>
                </c:pt>
                <c:pt idx="10">
                  <c:v>77.871611313059361</c:v>
                </c:pt>
                <c:pt idx="11">
                  <c:v>72.277751373036352</c:v>
                </c:pt>
                <c:pt idx="12">
                  <c:v>67.168551711751505</c:v>
                </c:pt>
                <c:pt idx="13">
                  <c:v>62.601879745818465</c:v>
                </c:pt>
                <c:pt idx="14">
                  <c:v>58.587668812264731</c:v>
                </c:pt>
                <c:pt idx="15">
                  <c:v>55.102523612714229</c:v>
                </c:pt>
                <c:pt idx="16">
                  <c:v>52.103840089725686</c:v>
                </c:pt>
                <c:pt idx="17">
                  <c:v>49.540623033130792</c:v>
                </c:pt>
                <c:pt idx="18">
                  <c:v>47.360566435264332</c:v>
                </c:pt>
                <c:pt idx="19">
                  <c:v>38.114457010517626</c:v>
                </c:pt>
                <c:pt idx="20">
                  <c:v>38.263864057929027</c:v>
                </c:pt>
                <c:pt idx="21">
                  <c:v>40.908943114402504</c:v>
                </c:pt>
                <c:pt idx="22">
                  <c:v>44.144895187946787</c:v>
                </c:pt>
                <c:pt idx="23">
                  <c:v>47.325729270599467</c:v>
                </c:pt>
                <c:pt idx="24">
                  <c:v>50.225687277269358</c:v>
                </c:pt>
                <c:pt idx="25">
                  <c:v>52.782401008985033</c:v>
                </c:pt>
                <c:pt idx="26">
                  <c:v>54.999740275017572</c:v>
                </c:pt>
                <c:pt idx="27">
                  <c:v>56.906888148981494</c:v>
                </c:pt>
                <c:pt idx="28">
                  <c:v>65.717246876116505</c:v>
                </c:pt>
                <c:pt idx="29">
                  <c:v>66.855447266233995</c:v>
                </c:pt>
                <c:pt idx="30">
                  <c:v>65.709848317126017</c:v>
                </c:pt>
                <c:pt idx="31">
                  <c:v>63.720858049481294</c:v>
                </c:pt>
                <c:pt idx="32">
                  <c:v>61.419886026979356</c:v>
                </c:pt>
                <c:pt idx="33">
                  <c:v>59.045987098371441</c:v>
                </c:pt>
                <c:pt idx="34">
                  <c:v>56.718765175181417</c:v>
                </c:pt>
                <c:pt idx="35">
                  <c:v>54.500294336058843</c:v>
                </c:pt>
                <c:pt idx="36">
                  <c:v>52.421745778037362</c:v>
                </c:pt>
                <c:pt idx="37">
                  <c:v>39.381439918852791</c:v>
                </c:pt>
                <c:pt idx="38">
                  <c:v>35.091890122315831</c:v>
                </c:pt>
                <c:pt idx="39">
                  <c:v>34.465565591424891</c:v>
                </c:pt>
                <c:pt idx="40">
                  <c:v>35.462212262026128</c:v>
                </c:pt>
                <c:pt idx="41">
                  <c:v>37.217481637767108</c:v>
                </c:pt>
                <c:pt idx="42">
                  <c:v>39.317811386116894</c:v>
                </c:pt>
                <c:pt idx="43">
                  <c:v>41.547080173880573</c:v>
                </c:pt>
                <c:pt idx="44">
                  <c:v>43.786533218308087</c:v>
                </c:pt>
                <c:pt idx="45">
                  <c:v>45.969916651298405</c:v>
                </c:pt>
                <c:pt idx="46">
                  <c:v>61.904964336120109</c:v>
                </c:pt>
                <c:pt idx="47">
                  <c:v>70.053280142343226</c:v>
                </c:pt>
                <c:pt idx="48">
                  <c:v>74.672664627246036</c:v>
                </c:pt>
                <c:pt idx="49">
                  <c:v>77.594003953075912</c:v>
                </c:pt>
                <c:pt idx="50">
                  <c:v>79.594479151008244</c:v>
                </c:pt>
                <c:pt idx="51">
                  <c:v>81.045663175669517</c:v>
                </c:pt>
                <c:pt idx="52">
                  <c:v>82.144683232221936</c:v>
                </c:pt>
                <c:pt idx="53">
                  <c:v>83.005054063958809</c:v>
                </c:pt>
                <c:pt idx="54">
                  <c:v>83.696498903129381</c:v>
                </c:pt>
                <c:pt idx="55">
                  <c:v>86.835267107652555</c:v>
                </c:pt>
              </c:numCache>
            </c:numRef>
          </c:yVal>
          <c:smooth val="1"/>
        </c:ser>
        <c:dLbls>
          <c:showLegendKey val="0"/>
          <c:showVal val="0"/>
          <c:showCatName val="0"/>
          <c:showSerName val="0"/>
          <c:showPercent val="0"/>
          <c:showBubbleSize val="0"/>
        </c:dLbls>
        <c:axId val="130456192"/>
        <c:axId val="130454272"/>
      </c:scatterChart>
      <c:valAx>
        <c:axId val="130441984"/>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30443904"/>
        <c:crosses val="autoZero"/>
        <c:crossBetween val="midCat"/>
      </c:valAx>
      <c:valAx>
        <c:axId val="13044390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30441984"/>
        <c:crosses val="autoZero"/>
        <c:crossBetween val="midCat"/>
        <c:majorUnit val="20"/>
      </c:valAx>
      <c:valAx>
        <c:axId val="130454272"/>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30456192"/>
        <c:crosses val="max"/>
        <c:crossBetween val="midCat"/>
        <c:majorUnit val="45"/>
      </c:valAx>
      <c:valAx>
        <c:axId val="130456192"/>
        <c:scaling>
          <c:logBase val="10"/>
          <c:orientation val="minMax"/>
        </c:scaling>
        <c:delete val="1"/>
        <c:axPos val="b"/>
        <c:majorGridlines/>
        <c:minorGridlines/>
        <c:numFmt formatCode="##0.000E+0" sourceLinked="1"/>
        <c:majorTickMark val="out"/>
        <c:minorTickMark val="none"/>
        <c:tickLblPos val="nextTo"/>
        <c:crossAx val="130454272"/>
        <c:crosses val="autoZero"/>
        <c:crossBetween val="midCat"/>
      </c:valAx>
    </c:plotArea>
    <c:legend>
      <c:legendPos val="r"/>
      <c:layout>
        <c:manualLayout>
          <c:xMode val="edge"/>
          <c:yMode val="edge"/>
          <c:x val="0.14255693844721024"/>
          <c:y val="0.58413381712865831"/>
          <c:w val="0.24727062343013576"/>
          <c:h val="0.22170957470441588"/>
        </c:manualLayout>
      </c:layou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Flyback_DCM_Calc!$N$4:$N$54</c:f>
              <c:numCache>
                <c:formatCode>0.0000</c:formatCode>
                <c:ptCount val="51"/>
                <c:pt idx="0">
                  <c:v>2.3078669805688543</c:v>
                </c:pt>
                <c:pt idx="1">
                  <c:v>1.9558194750583509</c:v>
                </c:pt>
                <c:pt idx="2">
                  <c:v>1.6969610151241576</c:v>
                </c:pt>
                <c:pt idx="3">
                  <c:v>1.498614922447308</c:v>
                </c:pt>
                <c:pt idx="4">
                  <c:v>1.341783128237706</c:v>
                </c:pt>
                <c:pt idx="5">
                  <c:v>1.2146668318783442</c:v>
                </c:pt>
                <c:pt idx="6">
                  <c:v>1.1095514329657952</c:v>
                </c:pt>
                <c:pt idx="7">
                  <c:v>1.0211800798977231</c:v>
                </c:pt>
                <c:pt idx="8">
                  <c:v>0.94584712318395658</c:v>
                </c:pt>
                <c:pt idx="9">
                  <c:v>0.88086525975910468</c:v>
                </c:pt>
                <c:pt idx="10">
                  <c:v>0.82423820734601938</c:v>
                </c:pt>
                <c:pt idx="11">
                  <c:v>0.77445200690229998</c:v>
                </c:pt>
                <c:pt idx="12">
                  <c:v>0.73033765207875134</c:v>
                </c:pt>
                <c:pt idx="13">
                  <c:v>0.69097813789486662</c:v>
                </c:pt>
                <c:pt idx="14">
                  <c:v>0.65564402857069715</c:v>
                </c:pt>
                <c:pt idx="15">
                  <c:v>0.62374783258617672</c:v>
                </c:pt>
                <c:pt idx="16">
                  <c:v>0.59481107746619954</c:v>
                </c:pt>
                <c:pt idx="17">
                  <c:v>0.56844014299725476</c:v>
                </c:pt>
                <c:pt idx="18">
                  <c:v>0.54430825013416373</c:v>
                </c:pt>
                <c:pt idx="19">
                  <c:v>0.52214185080743303</c:v>
                </c:pt>
                <c:pt idx="20">
                  <c:v>0.50171021316714215</c:v>
                </c:pt>
                <c:pt idx="21">
                  <c:v>0.48281735995164315</c:v>
                </c:pt>
                <c:pt idx="22">
                  <c:v>0.46529576221146252</c:v>
                </c:pt>
                <c:pt idx="23">
                  <c:v>0.44900135808732566</c:v>
                </c:pt>
                <c:pt idx="24">
                  <c:v>0.43380958281369436</c:v>
                </c:pt>
                <c:pt idx="25">
                  <c:v>0.41961217828524622</c:v>
                </c:pt>
                <c:pt idx="26">
                  <c:v>0.40631460925508001</c:v>
                </c:pt>
                <c:pt idx="27">
                  <c:v>0.39383395572847341</c:v>
                </c:pt>
                <c:pt idx="28">
                  <c:v>0.38209718221338645</c:v>
                </c:pt>
                <c:pt idx="29">
                  <c:v>0.37103970748695408</c:v>
                </c:pt>
                <c:pt idx="30">
                  <c:v>0.3606042157138834</c:v>
                </c:pt>
                <c:pt idx="31">
                  <c:v>0.35073966270043372</c:v>
                </c:pt>
                <c:pt idx="32">
                  <c:v>0.34140044091255239</c:v>
                </c:pt>
                <c:pt idx="33">
                  <c:v>0.33254567443355249</c:v>
                </c:pt>
                <c:pt idx="34">
                  <c:v>0.3241386208664121</c:v>
                </c:pt>
                <c:pt idx="35">
                  <c:v>0.31614616172176085</c:v>
                </c:pt>
                <c:pt idx="36">
                  <c:v>0.30853836638621041</c:v>
                </c:pt>
                <c:pt idx="37">
                  <c:v>0.30128811756773549</c:v>
                </c:pt>
                <c:pt idx="38">
                  <c:v>0.29437078833786401</c:v>
                </c:pt>
                <c:pt idx="39">
                  <c:v>0.28776396266444565</c:v>
                </c:pt>
                <c:pt idx="40">
                  <c:v>0.28144719275229929</c:v>
                </c:pt>
                <c:pt idx="41">
                  <c:v>0.27540178765738116</c:v>
                </c:pt>
                <c:pt idx="42">
                  <c:v>0.26961062857112783</c:v>
                </c:pt>
                <c:pt idx="43">
                  <c:v>0.26405800693007481</c:v>
                </c:pt>
                <c:pt idx="44">
                  <c:v>0.25872948212655317</c:v>
                </c:pt>
                <c:pt idx="45">
                  <c:v>0.25361175610646747</c:v>
                </c:pt>
                <c:pt idx="46">
                  <c:v>0.2486925625612989</c:v>
                </c:pt>
                <c:pt idx="47">
                  <c:v>0.24396056877049199</c:v>
                </c:pt>
                <c:pt idx="48">
                  <c:v>0.23940528844075248</c:v>
                </c:pt>
                <c:pt idx="49">
                  <c:v>0.23501700413124788</c:v>
                </c:pt>
                <c:pt idx="50">
                  <c:v>0.23078669805688543</c:v>
                </c:pt>
              </c:numCache>
            </c:numRef>
          </c:yVal>
          <c:smooth val="1"/>
        </c:ser>
        <c:dLbls>
          <c:showLegendKey val="0"/>
          <c:showVal val="0"/>
          <c:showCatName val="0"/>
          <c:showSerName val="0"/>
          <c:showPercent val="0"/>
          <c:showBubbleSize val="0"/>
        </c:dLbls>
        <c:axId val="130476672"/>
        <c:axId val="130495232"/>
      </c:scatterChart>
      <c:valAx>
        <c:axId val="13047667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30495232"/>
        <c:crosses val="autoZero"/>
        <c:crossBetween val="midCat"/>
      </c:valAx>
      <c:valAx>
        <c:axId val="130495232"/>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30476672"/>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a:t>
            </a:r>
            <a:r>
              <a:rPr lang="en-US" baseline="0"/>
              <a:t>nput Current</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'Fly-Buck_Calc'!$M$4:$M$54</c:f>
              <c:numCache>
                <c:formatCode>General</c:formatCode>
                <c:ptCount val="51"/>
                <c:pt idx="0">
                  <c:v>1.25</c:v>
                </c:pt>
                <c:pt idx="1">
                  <c:v>1.0593220338983051</c:v>
                </c:pt>
                <c:pt idx="2">
                  <c:v>0.91911764705882348</c:v>
                </c:pt>
                <c:pt idx="3">
                  <c:v>0.81168831168831168</c:v>
                </c:pt>
                <c:pt idx="4">
                  <c:v>0.72674418604651159</c:v>
                </c:pt>
                <c:pt idx="5">
                  <c:v>0.6578947368421052</c:v>
                </c:pt>
                <c:pt idx="6">
                  <c:v>0.60096153846153844</c:v>
                </c:pt>
                <c:pt idx="7">
                  <c:v>0.55309734513274333</c:v>
                </c:pt>
                <c:pt idx="8">
                  <c:v>0.51229508196721307</c:v>
                </c:pt>
                <c:pt idx="9">
                  <c:v>0.47709923664122134</c:v>
                </c:pt>
                <c:pt idx="10">
                  <c:v>0.4464285714285714</c:v>
                </c:pt>
                <c:pt idx="11">
                  <c:v>0.4194630872483221</c:v>
                </c:pt>
                <c:pt idx="12">
                  <c:v>0.39556962025316456</c:v>
                </c:pt>
                <c:pt idx="13">
                  <c:v>0.37425149700598803</c:v>
                </c:pt>
                <c:pt idx="14">
                  <c:v>0.35511363636363635</c:v>
                </c:pt>
                <c:pt idx="15">
                  <c:v>0.33783783783783777</c:v>
                </c:pt>
                <c:pt idx="16">
                  <c:v>0.32216494845360821</c:v>
                </c:pt>
                <c:pt idx="17">
                  <c:v>0.30788177339901479</c:v>
                </c:pt>
                <c:pt idx="18">
                  <c:v>0.29481132075471694</c:v>
                </c:pt>
                <c:pt idx="19">
                  <c:v>0.28280542986425333</c:v>
                </c:pt>
                <c:pt idx="20">
                  <c:v>0.27173913043478259</c:v>
                </c:pt>
                <c:pt idx="21">
                  <c:v>0.2615062761506276</c:v>
                </c:pt>
                <c:pt idx="22">
                  <c:v>0.25201612903225806</c:v>
                </c:pt>
                <c:pt idx="23">
                  <c:v>0.24319066147859919</c:v>
                </c:pt>
                <c:pt idx="24">
                  <c:v>0.23496240601503759</c:v>
                </c:pt>
                <c:pt idx="25">
                  <c:v>0.22727272727272727</c:v>
                </c:pt>
                <c:pt idx="26">
                  <c:v>0.22007042253521128</c:v>
                </c:pt>
                <c:pt idx="27">
                  <c:v>0.21331058020477814</c:v>
                </c:pt>
                <c:pt idx="28">
                  <c:v>0.20695364238410596</c:v>
                </c:pt>
                <c:pt idx="29">
                  <c:v>0.20096463022508038</c:v>
                </c:pt>
                <c:pt idx="30">
                  <c:v>0.19531249999999997</c:v>
                </c:pt>
                <c:pt idx="31">
                  <c:v>0.18996960486322187</c:v>
                </c:pt>
                <c:pt idx="32">
                  <c:v>0.1849112426035503</c:v>
                </c:pt>
                <c:pt idx="33">
                  <c:v>0.18011527377521613</c:v>
                </c:pt>
                <c:pt idx="34">
                  <c:v>0.175561797752809</c:v>
                </c:pt>
                <c:pt idx="35">
                  <c:v>0.17123287671232876</c:v>
                </c:pt>
                <c:pt idx="36">
                  <c:v>0.16711229946524064</c:v>
                </c:pt>
                <c:pt idx="37">
                  <c:v>0.16318537859007834</c:v>
                </c:pt>
                <c:pt idx="38">
                  <c:v>0.15943877551020405</c:v>
                </c:pt>
                <c:pt idx="39">
                  <c:v>0.15586034912718202</c:v>
                </c:pt>
                <c:pt idx="40">
                  <c:v>0.1524390243902439</c:v>
                </c:pt>
                <c:pt idx="41">
                  <c:v>0.14916467780429593</c:v>
                </c:pt>
                <c:pt idx="42">
                  <c:v>0.14602803738317757</c:v>
                </c:pt>
                <c:pt idx="43">
                  <c:v>0.14302059496567504</c:v>
                </c:pt>
                <c:pt idx="44">
                  <c:v>0.14013452914798205</c:v>
                </c:pt>
                <c:pt idx="45">
                  <c:v>0.13736263736263735</c:v>
                </c:pt>
                <c:pt idx="46">
                  <c:v>0.13469827586206895</c:v>
                </c:pt>
                <c:pt idx="47">
                  <c:v>0.1321353065539112</c:v>
                </c:pt>
                <c:pt idx="48">
                  <c:v>0.1296680497925311</c:v>
                </c:pt>
                <c:pt idx="49">
                  <c:v>0.12729124236252545</c:v>
                </c:pt>
                <c:pt idx="50">
                  <c:v>0.125</c:v>
                </c:pt>
              </c:numCache>
            </c:numRef>
          </c:yVal>
          <c:smooth val="1"/>
        </c:ser>
        <c:ser>
          <c:idx val="1"/>
          <c:order val="1"/>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'Fly-BB_Calc'!$M$4:$M$54</c:f>
              <c:numCache>
                <c:formatCode>General</c:formatCode>
                <c:ptCount val="51"/>
                <c:pt idx="0">
                  <c:v>1.25</c:v>
                </c:pt>
                <c:pt idx="1">
                  <c:v>1.0593220338983051</c:v>
                </c:pt>
                <c:pt idx="2">
                  <c:v>0.91911764705882348</c:v>
                </c:pt>
                <c:pt idx="3">
                  <c:v>0.81168831168831168</c:v>
                </c:pt>
                <c:pt idx="4">
                  <c:v>0.72674418604651159</c:v>
                </c:pt>
                <c:pt idx="5">
                  <c:v>0.6578947368421052</c:v>
                </c:pt>
                <c:pt idx="6">
                  <c:v>0.60096153846153844</c:v>
                </c:pt>
                <c:pt idx="7">
                  <c:v>0.55309734513274333</c:v>
                </c:pt>
                <c:pt idx="8">
                  <c:v>0.51229508196721307</c:v>
                </c:pt>
                <c:pt idx="9">
                  <c:v>0.47709923664122134</c:v>
                </c:pt>
                <c:pt idx="10">
                  <c:v>0.4464285714285714</c:v>
                </c:pt>
                <c:pt idx="11">
                  <c:v>0.4194630872483221</c:v>
                </c:pt>
                <c:pt idx="12">
                  <c:v>0.39556962025316456</c:v>
                </c:pt>
                <c:pt idx="13">
                  <c:v>0.37425149700598803</c:v>
                </c:pt>
                <c:pt idx="14">
                  <c:v>0.35511363636363635</c:v>
                </c:pt>
                <c:pt idx="15">
                  <c:v>0.33783783783783777</c:v>
                </c:pt>
                <c:pt idx="16">
                  <c:v>0.32216494845360821</c:v>
                </c:pt>
                <c:pt idx="17">
                  <c:v>0.30788177339901479</c:v>
                </c:pt>
                <c:pt idx="18">
                  <c:v>0.29481132075471694</c:v>
                </c:pt>
                <c:pt idx="19">
                  <c:v>0.28280542986425333</c:v>
                </c:pt>
                <c:pt idx="20">
                  <c:v>0.27173913043478259</c:v>
                </c:pt>
                <c:pt idx="21">
                  <c:v>0.2615062761506276</c:v>
                </c:pt>
                <c:pt idx="22">
                  <c:v>0.25201612903225806</c:v>
                </c:pt>
                <c:pt idx="23">
                  <c:v>0.24319066147859919</c:v>
                </c:pt>
                <c:pt idx="24">
                  <c:v>0.23496240601503759</c:v>
                </c:pt>
                <c:pt idx="25">
                  <c:v>0.22727272727272727</c:v>
                </c:pt>
                <c:pt idx="26">
                  <c:v>0.22007042253521128</c:v>
                </c:pt>
                <c:pt idx="27">
                  <c:v>0.21331058020477814</c:v>
                </c:pt>
                <c:pt idx="28">
                  <c:v>0.20695364238410596</c:v>
                </c:pt>
                <c:pt idx="29">
                  <c:v>0.20096463022508038</c:v>
                </c:pt>
                <c:pt idx="30">
                  <c:v>0.19531249999999997</c:v>
                </c:pt>
                <c:pt idx="31">
                  <c:v>0.18996960486322187</c:v>
                </c:pt>
                <c:pt idx="32">
                  <c:v>0.1849112426035503</c:v>
                </c:pt>
                <c:pt idx="33">
                  <c:v>0.18011527377521613</c:v>
                </c:pt>
                <c:pt idx="34">
                  <c:v>0.175561797752809</c:v>
                </c:pt>
                <c:pt idx="35">
                  <c:v>0.17123287671232876</c:v>
                </c:pt>
                <c:pt idx="36">
                  <c:v>0.16711229946524064</c:v>
                </c:pt>
                <c:pt idx="37">
                  <c:v>0.16318537859007834</c:v>
                </c:pt>
                <c:pt idx="38">
                  <c:v>0.15943877551020405</c:v>
                </c:pt>
                <c:pt idx="39">
                  <c:v>0.15586034912718202</c:v>
                </c:pt>
                <c:pt idx="40">
                  <c:v>0.1524390243902439</c:v>
                </c:pt>
                <c:pt idx="41">
                  <c:v>0.14916467780429593</c:v>
                </c:pt>
                <c:pt idx="42">
                  <c:v>0.14602803738317757</c:v>
                </c:pt>
                <c:pt idx="43">
                  <c:v>0.14302059496567504</c:v>
                </c:pt>
                <c:pt idx="44">
                  <c:v>0.14013452914798205</c:v>
                </c:pt>
                <c:pt idx="45">
                  <c:v>0.13736263736263735</c:v>
                </c:pt>
                <c:pt idx="46">
                  <c:v>0.13469827586206895</c:v>
                </c:pt>
                <c:pt idx="47">
                  <c:v>0.1321353065539112</c:v>
                </c:pt>
                <c:pt idx="48">
                  <c:v>0.1296680497925311</c:v>
                </c:pt>
                <c:pt idx="49">
                  <c:v>0.12729124236252545</c:v>
                </c:pt>
                <c:pt idx="50">
                  <c:v>0.125</c:v>
                </c:pt>
              </c:numCache>
            </c:numRef>
          </c:yVal>
          <c:smooth val="1"/>
        </c:ser>
        <c:ser>
          <c:idx val="2"/>
          <c:order val="2"/>
          <c:tx>
            <c:v>Flyback 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Flyback_CCM_Calc!$R$4:$R$54</c:f>
              <c:numCache>
                <c:formatCode>0.0000</c:formatCode>
                <c:ptCount val="51"/>
                <c:pt idx="0">
                  <c:v>1.25</c:v>
                </c:pt>
                <c:pt idx="1">
                  <c:v>1.0593220338983051</c:v>
                </c:pt>
                <c:pt idx="2">
                  <c:v>0.91911764705882348</c:v>
                </c:pt>
                <c:pt idx="3">
                  <c:v>0.81168831168831168</c:v>
                </c:pt>
                <c:pt idx="4">
                  <c:v>0.72674418604651159</c:v>
                </c:pt>
                <c:pt idx="5">
                  <c:v>0.6578947368421052</c:v>
                </c:pt>
                <c:pt idx="6">
                  <c:v>0.60096153846153844</c:v>
                </c:pt>
                <c:pt idx="7">
                  <c:v>0.55309734513274333</c:v>
                </c:pt>
                <c:pt idx="8">
                  <c:v>0.51229508196721307</c:v>
                </c:pt>
                <c:pt idx="9">
                  <c:v>0.47709923664122134</c:v>
                </c:pt>
                <c:pt idx="10">
                  <c:v>0.4464285714285714</c:v>
                </c:pt>
                <c:pt idx="11">
                  <c:v>0.4194630872483221</c:v>
                </c:pt>
                <c:pt idx="12">
                  <c:v>0.39556962025316456</c:v>
                </c:pt>
                <c:pt idx="13">
                  <c:v>0.37425149700598803</c:v>
                </c:pt>
                <c:pt idx="14">
                  <c:v>0.35511363636363635</c:v>
                </c:pt>
                <c:pt idx="15">
                  <c:v>0.33783783783783777</c:v>
                </c:pt>
                <c:pt idx="16">
                  <c:v>0.32216494845360821</c:v>
                </c:pt>
                <c:pt idx="17">
                  <c:v>0.30788177339901479</c:v>
                </c:pt>
                <c:pt idx="18">
                  <c:v>0.29481132075471694</c:v>
                </c:pt>
                <c:pt idx="19">
                  <c:v>0.28280542986425333</c:v>
                </c:pt>
                <c:pt idx="20">
                  <c:v>0.27173913043478259</c:v>
                </c:pt>
                <c:pt idx="21">
                  <c:v>0.2615062761506276</c:v>
                </c:pt>
                <c:pt idx="22">
                  <c:v>0.25201612903225806</c:v>
                </c:pt>
                <c:pt idx="23">
                  <c:v>0.24319066147859919</c:v>
                </c:pt>
                <c:pt idx="24">
                  <c:v>0.23496240601503759</c:v>
                </c:pt>
                <c:pt idx="25">
                  <c:v>0.22727272727272727</c:v>
                </c:pt>
                <c:pt idx="26">
                  <c:v>0.22007042253521128</c:v>
                </c:pt>
                <c:pt idx="27">
                  <c:v>0.21331058020477814</c:v>
                </c:pt>
                <c:pt idx="28">
                  <c:v>0.20695364238410596</c:v>
                </c:pt>
                <c:pt idx="29">
                  <c:v>0.20096463022508038</c:v>
                </c:pt>
                <c:pt idx="30">
                  <c:v>0.19531249999999997</c:v>
                </c:pt>
                <c:pt idx="31">
                  <c:v>0.18996960486322187</c:v>
                </c:pt>
                <c:pt idx="32">
                  <c:v>0.1849112426035503</c:v>
                </c:pt>
                <c:pt idx="33">
                  <c:v>0.18011527377521613</c:v>
                </c:pt>
                <c:pt idx="34">
                  <c:v>0.175561797752809</c:v>
                </c:pt>
                <c:pt idx="35">
                  <c:v>0.17123287671232876</c:v>
                </c:pt>
                <c:pt idx="36">
                  <c:v>0.16711229946524064</c:v>
                </c:pt>
                <c:pt idx="37">
                  <c:v>0.16318537859007834</c:v>
                </c:pt>
                <c:pt idx="38">
                  <c:v>0.15943877551020405</c:v>
                </c:pt>
                <c:pt idx="39">
                  <c:v>0.15586034912718202</c:v>
                </c:pt>
                <c:pt idx="40">
                  <c:v>0.1524390243902439</c:v>
                </c:pt>
                <c:pt idx="41">
                  <c:v>0.14916467780429593</c:v>
                </c:pt>
                <c:pt idx="42">
                  <c:v>0.14602803738317757</c:v>
                </c:pt>
                <c:pt idx="43">
                  <c:v>0.14302059496567504</c:v>
                </c:pt>
                <c:pt idx="44">
                  <c:v>0.14013452914798205</c:v>
                </c:pt>
                <c:pt idx="45">
                  <c:v>0.13736263736263735</c:v>
                </c:pt>
                <c:pt idx="46">
                  <c:v>0.13469827586206895</c:v>
                </c:pt>
                <c:pt idx="47">
                  <c:v>0.1321353065539112</c:v>
                </c:pt>
                <c:pt idx="48">
                  <c:v>0.1296680497925311</c:v>
                </c:pt>
                <c:pt idx="49">
                  <c:v>0.12729124236252545</c:v>
                </c:pt>
                <c:pt idx="50">
                  <c:v>0.125</c:v>
                </c:pt>
              </c:numCache>
            </c:numRef>
          </c:yVal>
          <c:smooth val="1"/>
        </c:ser>
        <c:ser>
          <c:idx val="3"/>
          <c:order val="3"/>
          <c:tx>
            <c:v>Flyback 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Flyback_DCM_Calc!$M$4:$M$54</c:f>
              <c:numCache>
                <c:formatCode>General</c:formatCode>
                <c:ptCount val="51"/>
                <c:pt idx="0">
                  <c:v>1.25</c:v>
                </c:pt>
                <c:pt idx="1">
                  <c:v>1.0593220338983051</c:v>
                </c:pt>
                <c:pt idx="2">
                  <c:v>0.91911764705882359</c:v>
                </c:pt>
                <c:pt idx="3">
                  <c:v>0.81168831168831168</c:v>
                </c:pt>
                <c:pt idx="4">
                  <c:v>0.72674418604651159</c:v>
                </c:pt>
                <c:pt idx="5">
                  <c:v>0.65789473684210531</c:v>
                </c:pt>
                <c:pt idx="6">
                  <c:v>0.60096153846153855</c:v>
                </c:pt>
                <c:pt idx="7">
                  <c:v>0.55309734513274333</c:v>
                </c:pt>
                <c:pt idx="8">
                  <c:v>0.51229508196721318</c:v>
                </c:pt>
                <c:pt idx="9">
                  <c:v>0.47709923664122139</c:v>
                </c:pt>
                <c:pt idx="10">
                  <c:v>0.4464285714285714</c:v>
                </c:pt>
                <c:pt idx="11">
                  <c:v>0.4194630872483221</c:v>
                </c:pt>
                <c:pt idx="12">
                  <c:v>0.39556962025316456</c:v>
                </c:pt>
                <c:pt idx="13">
                  <c:v>0.37425149700598803</c:v>
                </c:pt>
                <c:pt idx="14">
                  <c:v>0.35511363636363641</c:v>
                </c:pt>
                <c:pt idx="15">
                  <c:v>0.33783783783783783</c:v>
                </c:pt>
                <c:pt idx="16">
                  <c:v>0.32216494845360821</c:v>
                </c:pt>
                <c:pt idx="17">
                  <c:v>0.30788177339901479</c:v>
                </c:pt>
                <c:pt idx="18">
                  <c:v>0.29481132075471694</c:v>
                </c:pt>
                <c:pt idx="19">
                  <c:v>0.28280542986425333</c:v>
                </c:pt>
                <c:pt idx="20">
                  <c:v>0.27173913043478259</c:v>
                </c:pt>
                <c:pt idx="21">
                  <c:v>0.2615062761506276</c:v>
                </c:pt>
                <c:pt idx="22">
                  <c:v>0.25201612903225806</c:v>
                </c:pt>
                <c:pt idx="23">
                  <c:v>0.24319066147859919</c:v>
                </c:pt>
                <c:pt idx="24">
                  <c:v>0.23496240601503762</c:v>
                </c:pt>
                <c:pt idx="25">
                  <c:v>0.22727272727272727</c:v>
                </c:pt>
                <c:pt idx="26">
                  <c:v>0.22007042253521128</c:v>
                </c:pt>
                <c:pt idx="27">
                  <c:v>0.21331058020477814</c:v>
                </c:pt>
                <c:pt idx="28">
                  <c:v>0.20695364238410596</c:v>
                </c:pt>
                <c:pt idx="29">
                  <c:v>0.2009646302250804</c:v>
                </c:pt>
                <c:pt idx="30">
                  <c:v>0.1953125</c:v>
                </c:pt>
                <c:pt idx="31">
                  <c:v>0.1899696048632219</c:v>
                </c:pt>
                <c:pt idx="32">
                  <c:v>0.1849112426035503</c:v>
                </c:pt>
                <c:pt idx="33">
                  <c:v>0.18011527377521613</c:v>
                </c:pt>
                <c:pt idx="34">
                  <c:v>0.175561797752809</c:v>
                </c:pt>
                <c:pt idx="35">
                  <c:v>0.17123287671232873</c:v>
                </c:pt>
                <c:pt idx="36">
                  <c:v>0.16711229946524064</c:v>
                </c:pt>
                <c:pt idx="37">
                  <c:v>0.16318537859007834</c:v>
                </c:pt>
                <c:pt idx="38">
                  <c:v>0.15943877551020408</c:v>
                </c:pt>
                <c:pt idx="39">
                  <c:v>0.15586034912718202</c:v>
                </c:pt>
                <c:pt idx="40">
                  <c:v>0.1524390243902439</c:v>
                </c:pt>
                <c:pt idx="41">
                  <c:v>0.14916467780429596</c:v>
                </c:pt>
                <c:pt idx="42">
                  <c:v>0.14602803738317757</c:v>
                </c:pt>
                <c:pt idx="43">
                  <c:v>0.14302059496567507</c:v>
                </c:pt>
                <c:pt idx="44">
                  <c:v>0.14013452914798205</c:v>
                </c:pt>
                <c:pt idx="45">
                  <c:v>0.13736263736263737</c:v>
                </c:pt>
                <c:pt idx="46">
                  <c:v>0.13469827586206898</c:v>
                </c:pt>
                <c:pt idx="47">
                  <c:v>0.1321353065539112</c:v>
                </c:pt>
                <c:pt idx="48">
                  <c:v>0.12966804979253113</c:v>
                </c:pt>
                <c:pt idx="49">
                  <c:v>0.12729124236252545</c:v>
                </c:pt>
                <c:pt idx="50">
                  <c:v>0.125</c:v>
                </c:pt>
              </c:numCache>
            </c:numRef>
          </c:yVal>
          <c:smooth val="1"/>
        </c:ser>
        <c:dLbls>
          <c:showLegendKey val="0"/>
          <c:showVal val="0"/>
          <c:showCatName val="0"/>
          <c:showSerName val="0"/>
          <c:showPercent val="0"/>
          <c:showBubbleSize val="0"/>
        </c:dLbls>
        <c:axId val="116294784"/>
        <c:axId val="116296704"/>
      </c:scatterChart>
      <c:valAx>
        <c:axId val="11629478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6296704"/>
        <c:crosses val="autoZero"/>
        <c:crossBetween val="midCat"/>
      </c:valAx>
      <c:valAx>
        <c:axId val="116296704"/>
        <c:scaling>
          <c:orientation val="minMax"/>
        </c:scaling>
        <c:delete val="0"/>
        <c:axPos val="l"/>
        <c:majorGridlines/>
        <c:title>
          <c:tx>
            <c:rich>
              <a:bodyPr rot="-5400000" vert="horz"/>
              <a:lstStyle/>
              <a:p>
                <a:pPr>
                  <a:defRPr/>
                </a:pPr>
                <a:r>
                  <a:rPr lang="en-US"/>
                  <a:t>IIN (A)</a:t>
                </a:r>
              </a:p>
            </c:rich>
          </c:tx>
          <c:overlay val="0"/>
        </c:title>
        <c:numFmt formatCode="General" sourceLinked="1"/>
        <c:majorTickMark val="out"/>
        <c:minorTickMark val="none"/>
        <c:tickLblPos val="nextTo"/>
        <c:crossAx val="1162947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Flyback_DCM_Calc!$Q$4:$Q$54</c:f>
              <c:numCache>
                <c:formatCode>##0.00E+0</c:formatCode>
                <c:ptCount val="51"/>
                <c:pt idx="0">
                  <c:v>1.0832513403280237</c:v>
                </c:pt>
                <c:pt idx="1">
                  <c:v>1.0832513403280235</c:v>
                </c:pt>
                <c:pt idx="2">
                  <c:v>1.0832513403280237</c:v>
                </c:pt>
                <c:pt idx="3">
                  <c:v>1.0832513403280237</c:v>
                </c:pt>
                <c:pt idx="4">
                  <c:v>1.0832513403280237</c:v>
                </c:pt>
                <c:pt idx="5">
                  <c:v>1.0832513403280235</c:v>
                </c:pt>
                <c:pt idx="6">
                  <c:v>1.0832513403280235</c:v>
                </c:pt>
                <c:pt idx="7">
                  <c:v>1.0832513403280237</c:v>
                </c:pt>
                <c:pt idx="8">
                  <c:v>1.0832513403280235</c:v>
                </c:pt>
                <c:pt idx="9">
                  <c:v>1.0832513403280237</c:v>
                </c:pt>
                <c:pt idx="10">
                  <c:v>1.0832513403280237</c:v>
                </c:pt>
                <c:pt idx="11">
                  <c:v>1.0832513403280237</c:v>
                </c:pt>
                <c:pt idx="12">
                  <c:v>1.0832513403280237</c:v>
                </c:pt>
                <c:pt idx="13">
                  <c:v>1.0832513403280237</c:v>
                </c:pt>
                <c:pt idx="14">
                  <c:v>1.0832513403280235</c:v>
                </c:pt>
                <c:pt idx="15">
                  <c:v>1.0832513403280235</c:v>
                </c:pt>
                <c:pt idx="16">
                  <c:v>1.0832513403280237</c:v>
                </c:pt>
                <c:pt idx="17">
                  <c:v>1.0832513403280237</c:v>
                </c:pt>
                <c:pt idx="18">
                  <c:v>1.0832513403280237</c:v>
                </c:pt>
                <c:pt idx="19">
                  <c:v>1.0832513403280237</c:v>
                </c:pt>
                <c:pt idx="20">
                  <c:v>1.0832513403280235</c:v>
                </c:pt>
                <c:pt idx="21">
                  <c:v>1.0832513403280237</c:v>
                </c:pt>
                <c:pt idx="22">
                  <c:v>1.0832513403280237</c:v>
                </c:pt>
                <c:pt idx="23">
                  <c:v>1.0832513403280237</c:v>
                </c:pt>
                <c:pt idx="24">
                  <c:v>1.0832513403280235</c:v>
                </c:pt>
                <c:pt idx="25">
                  <c:v>1.0832513403280237</c:v>
                </c:pt>
                <c:pt idx="26">
                  <c:v>1.0832513403280237</c:v>
                </c:pt>
                <c:pt idx="27">
                  <c:v>1.0832513403280237</c:v>
                </c:pt>
                <c:pt idx="28">
                  <c:v>1.0832513403280237</c:v>
                </c:pt>
                <c:pt idx="29">
                  <c:v>1.0832513403280237</c:v>
                </c:pt>
                <c:pt idx="30">
                  <c:v>1.0832513403280235</c:v>
                </c:pt>
                <c:pt idx="31">
                  <c:v>1.0832513403280235</c:v>
                </c:pt>
                <c:pt idx="32">
                  <c:v>1.0832513403280237</c:v>
                </c:pt>
                <c:pt idx="33">
                  <c:v>1.0832513403280237</c:v>
                </c:pt>
                <c:pt idx="34">
                  <c:v>1.0832513403280235</c:v>
                </c:pt>
                <c:pt idx="35">
                  <c:v>1.0832513403280237</c:v>
                </c:pt>
                <c:pt idx="36">
                  <c:v>1.0832513403280235</c:v>
                </c:pt>
                <c:pt idx="37">
                  <c:v>1.0832513403280235</c:v>
                </c:pt>
                <c:pt idx="38">
                  <c:v>1.0832513403280235</c:v>
                </c:pt>
                <c:pt idx="39">
                  <c:v>1.0832513403280237</c:v>
                </c:pt>
                <c:pt idx="40">
                  <c:v>1.0832513403280237</c:v>
                </c:pt>
                <c:pt idx="41">
                  <c:v>1.0832513403280235</c:v>
                </c:pt>
                <c:pt idx="42">
                  <c:v>1.0832513403280237</c:v>
                </c:pt>
                <c:pt idx="43">
                  <c:v>1.0832513403280235</c:v>
                </c:pt>
                <c:pt idx="44">
                  <c:v>1.0832513403280237</c:v>
                </c:pt>
                <c:pt idx="45">
                  <c:v>1.0832513403280235</c:v>
                </c:pt>
                <c:pt idx="46">
                  <c:v>1.0832513403280235</c:v>
                </c:pt>
                <c:pt idx="47">
                  <c:v>1.0832513403280237</c:v>
                </c:pt>
                <c:pt idx="48">
                  <c:v>1.0832513403280235</c:v>
                </c:pt>
                <c:pt idx="49">
                  <c:v>1.0832513403280237</c:v>
                </c:pt>
                <c:pt idx="50">
                  <c:v>1.0832513403280237</c:v>
                </c:pt>
              </c:numCache>
            </c:numRef>
          </c:yVal>
          <c:smooth val="1"/>
        </c:ser>
        <c:dLbls>
          <c:showLegendKey val="0"/>
          <c:showVal val="0"/>
          <c:showCatName val="0"/>
          <c:showSerName val="0"/>
          <c:showPercent val="0"/>
          <c:showBubbleSize val="0"/>
        </c:dLbls>
        <c:axId val="130520192"/>
        <c:axId val="130522112"/>
      </c:scatterChart>
      <c:valAx>
        <c:axId val="13052019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30522112"/>
        <c:crosses val="autoZero"/>
        <c:crossBetween val="midCat"/>
      </c:valAx>
      <c:valAx>
        <c:axId val="130522112"/>
        <c:scaling>
          <c:orientation val="minMax"/>
        </c:scaling>
        <c:delete val="0"/>
        <c:axPos val="l"/>
        <c:majorGridlines/>
        <c:minorGridlines/>
        <c:title>
          <c:tx>
            <c:rich>
              <a:bodyPr rot="-5400000" vert="horz"/>
              <a:lstStyle/>
              <a:p>
                <a:pPr>
                  <a:defRPr/>
                </a:pPr>
                <a:r>
                  <a:rPr lang="en-US"/>
                  <a:t>Primary</a:t>
                </a:r>
                <a:r>
                  <a:rPr lang="en-US" baseline="0"/>
                  <a:t> Peak Current (A)</a:t>
                </a:r>
                <a:endParaRPr lang="en-US"/>
              </a:p>
            </c:rich>
          </c:tx>
          <c:overlay val="0"/>
        </c:title>
        <c:numFmt formatCode="#,##0.00" sourceLinked="0"/>
        <c:majorTickMark val="out"/>
        <c:minorTickMark val="none"/>
        <c:tickLblPos val="nextTo"/>
        <c:crossAx val="130520192"/>
        <c:crosses val="autoZero"/>
        <c:crossBetween val="midCat"/>
        <c:majorUnit val="1"/>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Flyback_DCM_Calc!$S$4:$S$54</c:f>
              <c:numCache>
                <c:formatCode>0.000</c:formatCode>
                <c:ptCount val="51"/>
                <c:pt idx="0">
                  <c:v>0.95011023059082633</c:v>
                </c:pt>
                <c:pt idx="1">
                  <c:v>0.87464736248743769</c:v>
                </c:pt>
                <c:pt idx="2">
                  <c:v>0.8147128013787478</c:v>
                </c:pt>
                <c:pt idx="3">
                  <c:v>0.76562064216553727</c:v>
                </c:pt>
                <c:pt idx="4">
                  <c:v>0.72445225911741196</c:v>
                </c:pt>
                <c:pt idx="5">
                  <c:v>0.68928240728019108</c:v>
                </c:pt>
                <c:pt idx="6">
                  <c:v>0.65878291418041124</c:v>
                </c:pt>
                <c:pt idx="7">
                  <c:v>0.63200392427416463</c:v>
                </c:pt>
                <c:pt idx="8">
                  <c:v>0.60824574758586847</c:v>
                </c:pt>
                <c:pt idx="9">
                  <c:v>0.5869800607408967</c:v>
                </c:pt>
                <c:pt idx="10">
                  <c:v>0.56779946481172683</c:v>
                </c:pt>
                <c:pt idx="11">
                  <c:v>0.55038407891209673</c:v>
                </c:pt>
                <c:pt idx="12">
                  <c:v>0.53447876249188664</c:v>
                </c:pt>
                <c:pt idx="13">
                  <c:v>0.51987718790210835</c:v>
                </c:pt>
                <c:pt idx="14">
                  <c:v>0.50641045444689581</c:v>
                </c:pt>
                <c:pt idx="15">
                  <c:v>0.4939387888199368</c:v>
                </c:pt>
                <c:pt idx="16">
                  <c:v>0.48234538954230705</c:v>
                </c:pt>
                <c:pt idx="17">
                  <c:v>0.47153179015986585</c:v>
                </c:pt>
                <c:pt idx="18">
                  <c:v>0.46141431732693494</c:v>
                </c:pt>
                <c:pt idx="19">
                  <c:v>0.45192135079199747</c:v>
                </c:pt>
                <c:pt idx="20">
                  <c:v>0.44299117919212927</c:v>
                </c:pt>
                <c:pt idx="21">
                  <c:v>0.43457030435773203</c:v>
                </c:pt>
                <c:pt idx="22">
                  <c:v>0.42661208730998534</c:v>
                </c:pt>
                <c:pt idx="23">
                  <c:v>0.41907565745097575</c:v>
                </c:pt>
                <c:pt idx="24">
                  <c:v>0.41192502654608293</c:v>
                </c:pt>
                <c:pt idx="25">
                  <c:v>0.4051283635575168</c:v>
                </c:pt>
                <c:pt idx="26">
                  <c:v>0.39865739691939506</c:v>
                </c:pt>
                <c:pt idx="27">
                  <c:v>0.39248691860406798</c:v>
                </c:pt>
                <c:pt idx="28">
                  <c:v>0.38659437010760977</c:v>
                </c:pt>
                <c:pt idx="29">
                  <c:v>0.38095949482838198</c:v>
                </c:pt>
                <c:pt idx="30">
                  <c:v>0.37556404461184961</c:v>
                </c:pt>
                <c:pt idx="31">
                  <c:v>0.37039153076140929</c:v>
                </c:pt>
                <c:pt idx="32">
                  <c:v>0.36542701176570247</c:v>
                </c:pt>
                <c:pt idx="33">
                  <c:v>0.36065691151060442</c:v>
                </c:pt>
                <c:pt idx="34">
                  <c:v>0.35606886293349466</c:v>
                </c:pt>
                <c:pt idx="35">
                  <c:v>0.35165157301591721</c:v>
                </c:pt>
                <c:pt idx="36">
                  <c:v>0.34739470575607023</c:v>
                </c:pt>
                <c:pt idx="37">
                  <c:v>0.34328878035811022</c:v>
                </c:pt>
                <c:pt idx="38">
                  <c:v>0.33932508235386649</c:v>
                </c:pt>
                <c:pt idx="39">
                  <c:v>0.33549558575934962</c:v>
                </c:pt>
                <c:pt idx="40">
                  <c:v>0.33179288468262652</c:v>
                </c:pt>
                <c:pt idx="41">
                  <c:v>0.32821013305614777</c:v>
                </c:pt>
                <c:pt idx="42">
                  <c:v>0.32474099137702328</c:v>
                </c:pt>
                <c:pt idx="43">
                  <c:v>0.32137957951211821</c:v>
                </c:pt>
                <c:pt idx="44">
                  <c:v>0.31812043476833124</c:v>
                </c:pt>
                <c:pt idx="45">
                  <c:v>0.31495847454764481</c:v>
                </c:pt>
                <c:pt idx="46">
                  <c:v>0.31188896300602453</c:v>
                </c:pt>
                <c:pt idx="47">
                  <c:v>0.30890748121854505</c:v>
                </c:pt>
                <c:pt idx="48">
                  <c:v>0.30600990042315102</c:v>
                </c:pt>
                <c:pt idx="49">
                  <c:v>0.30319235797452088</c:v>
                </c:pt>
                <c:pt idx="50">
                  <c:v>0.30045123568947979</c:v>
                </c:pt>
              </c:numCache>
            </c:numRef>
          </c:yVal>
          <c:smooth val="1"/>
        </c:ser>
        <c:dLbls>
          <c:showLegendKey val="0"/>
          <c:showVal val="0"/>
          <c:showCatName val="0"/>
          <c:showSerName val="0"/>
          <c:showPercent val="0"/>
          <c:showBubbleSize val="0"/>
        </c:dLbls>
        <c:axId val="130538880"/>
        <c:axId val="130168320"/>
      </c:scatterChart>
      <c:valAx>
        <c:axId val="13053888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30168320"/>
        <c:crosses val="autoZero"/>
        <c:crossBetween val="midCat"/>
      </c:valAx>
      <c:valAx>
        <c:axId val="130168320"/>
        <c:scaling>
          <c:orientation val="minMax"/>
        </c:scaling>
        <c:delete val="0"/>
        <c:axPos val="l"/>
        <c:majorGridlines/>
        <c:title>
          <c:tx>
            <c:rich>
              <a:bodyPr rot="-5400000" vert="horz"/>
              <a:lstStyle/>
              <a:p>
                <a:pPr>
                  <a:defRPr/>
                </a:pPr>
                <a:r>
                  <a:rPr lang="en-US"/>
                  <a:t>Primary RMS </a:t>
                </a:r>
                <a:r>
                  <a:rPr lang="en-US" baseline="0"/>
                  <a:t>Current (A)</a:t>
                </a:r>
                <a:endParaRPr lang="en-US"/>
              </a:p>
            </c:rich>
          </c:tx>
          <c:overlay val="0"/>
        </c:title>
        <c:numFmt formatCode="General" sourceLinked="0"/>
        <c:majorTickMark val="out"/>
        <c:minorTickMark val="none"/>
        <c:tickLblPos val="nextTo"/>
        <c:crossAx val="130538880"/>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Flyback_CCM_Calc!$CW$4:$CW$54</c:f>
              <c:numCache>
                <c:formatCode>General</c:formatCode>
                <c:ptCount val="51"/>
                <c:pt idx="0">
                  <c:v>46</c:v>
                </c:pt>
                <c:pt idx="1">
                  <c:v>47.08</c:v>
                </c:pt>
                <c:pt idx="2">
                  <c:v>48.16</c:v>
                </c:pt>
                <c:pt idx="3">
                  <c:v>49.24</c:v>
                </c:pt>
                <c:pt idx="4">
                  <c:v>50.32</c:v>
                </c:pt>
                <c:pt idx="5">
                  <c:v>51.4</c:v>
                </c:pt>
                <c:pt idx="6">
                  <c:v>52.480000000000004</c:v>
                </c:pt>
                <c:pt idx="7">
                  <c:v>53.56</c:v>
                </c:pt>
                <c:pt idx="8">
                  <c:v>54.64</c:v>
                </c:pt>
                <c:pt idx="9">
                  <c:v>55.72</c:v>
                </c:pt>
                <c:pt idx="10">
                  <c:v>56.8</c:v>
                </c:pt>
                <c:pt idx="11">
                  <c:v>57.88</c:v>
                </c:pt>
                <c:pt idx="12">
                  <c:v>58.96</c:v>
                </c:pt>
                <c:pt idx="13">
                  <c:v>60.04</c:v>
                </c:pt>
                <c:pt idx="14">
                  <c:v>61.120000000000005</c:v>
                </c:pt>
                <c:pt idx="15">
                  <c:v>62.2</c:v>
                </c:pt>
                <c:pt idx="16">
                  <c:v>63.28</c:v>
                </c:pt>
                <c:pt idx="17">
                  <c:v>64.36</c:v>
                </c:pt>
                <c:pt idx="18">
                  <c:v>65.44</c:v>
                </c:pt>
                <c:pt idx="19">
                  <c:v>66.52000000000001</c:v>
                </c:pt>
                <c:pt idx="20">
                  <c:v>67.599999999999994</c:v>
                </c:pt>
                <c:pt idx="21">
                  <c:v>68.680000000000007</c:v>
                </c:pt>
                <c:pt idx="22">
                  <c:v>69.760000000000005</c:v>
                </c:pt>
                <c:pt idx="23">
                  <c:v>70.84</c:v>
                </c:pt>
                <c:pt idx="24">
                  <c:v>71.92</c:v>
                </c:pt>
                <c:pt idx="25">
                  <c:v>73</c:v>
                </c:pt>
                <c:pt idx="26">
                  <c:v>74.08</c:v>
                </c:pt>
                <c:pt idx="27">
                  <c:v>75.16</c:v>
                </c:pt>
                <c:pt idx="28">
                  <c:v>76.240000000000009</c:v>
                </c:pt>
                <c:pt idx="29">
                  <c:v>77.319999999999993</c:v>
                </c:pt>
                <c:pt idx="30">
                  <c:v>78.400000000000006</c:v>
                </c:pt>
                <c:pt idx="31">
                  <c:v>79.48</c:v>
                </c:pt>
                <c:pt idx="32">
                  <c:v>80.56</c:v>
                </c:pt>
                <c:pt idx="33">
                  <c:v>81.64</c:v>
                </c:pt>
                <c:pt idx="34">
                  <c:v>82.72</c:v>
                </c:pt>
                <c:pt idx="35">
                  <c:v>83.800000000000011</c:v>
                </c:pt>
                <c:pt idx="36">
                  <c:v>84.88</c:v>
                </c:pt>
                <c:pt idx="37">
                  <c:v>85.960000000000008</c:v>
                </c:pt>
                <c:pt idx="38">
                  <c:v>87.04</c:v>
                </c:pt>
                <c:pt idx="39">
                  <c:v>88.12</c:v>
                </c:pt>
                <c:pt idx="40">
                  <c:v>89.2</c:v>
                </c:pt>
                <c:pt idx="41">
                  <c:v>90.28</c:v>
                </c:pt>
                <c:pt idx="42">
                  <c:v>91.36</c:v>
                </c:pt>
                <c:pt idx="43">
                  <c:v>92.44</c:v>
                </c:pt>
                <c:pt idx="44">
                  <c:v>93.52000000000001</c:v>
                </c:pt>
                <c:pt idx="45">
                  <c:v>94.6</c:v>
                </c:pt>
                <c:pt idx="46">
                  <c:v>95.68</c:v>
                </c:pt>
                <c:pt idx="47">
                  <c:v>96.76</c:v>
                </c:pt>
                <c:pt idx="48">
                  <c:v>97.84</c:v>
                </c:pt>
                <c:pt idx="49">
                  <c:v>98.92</c:v>
                </c:pt>
                <c:pt idx="50">
                  <c:v>100</c:v>
                </c:pt>
              </c:numCache>
            </c:numRef>
          </c:yVal>
          <c:smooth val="1"/>
        </c:ser>
        <c:ser>
          <c:idx val="0"/>
          <c:order val="1"/>
          <c:tx>
            <c:v>Buck Derived</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'Fly-Buck_Calc'!$CV$4:$CV$54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yVal>
          <c:smooth val="1"/>
        </c:ser>
        <c:dLbls>
          <c:showLegendKey val="0"/>
          <c:showVal val="0"/>
          <c:showCatName val="0"/>
          <c:showSerName val="0"/>
          <c:showPercent val="0"/>
          <c:showBubbleSize val="0"/>
        </c:dLbls>
        <c:axId val="130202240"/>
        <c:axId val="130204416"/>
      </c:scatterChart>
      <c:valAx>
        <c:axId val="130202240"/>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30204416"/>
        <c:crosses val="autoZero"/>
        <c:crossBetween val="midCat"/>
      </c:valAx>
      <c:valAx>
        <c:axId val="130204416"/>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30202240"/>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'Fly-Buck_Calc'!$CV$4:$CV$54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yVal>
          <c:smooth val="1"/>
        </c:ser>
        <c:ser>
          <c:idx val="2"/>
          <c:order val="1"/>
          <c:tx>
            <c:v>Flyback 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Flyback_DCM_Calc!$DA$4:$DA$54</c:f>
              <c:numCache>
                <c:formatCode>General</c:formatCode>
                <c:ptCount val="51"/>
                <c:pt idx="0">
                  <c:v>793.1295129889736</c:v>
                </c:pt>
                <c:pt idx="1">
                  <c:v>794.20951298897353</c:v>
                </c:pt>
                <c:pt idx="2">
                  <c:v>795.28951298897357</c:v>
                </c:pt>
                <c:pt idx="3">
                  <c:v>796.36951298897361</c:v>
                </c:pt>
                <c:pt idx="4">
                  <c:v>797.44951298897365</c:v>
                </c:pt>
                <c:pt idx="5">
                  <c:v>798.52951298897347</c:v>
                </c:pt>
                <c:pt idx="6">
                  <c:v>799.60951298897351</c:v>
                </c:pt>
                <c:pt idx="7">
                  <c:v>800.68951298897355</c:v>
                </c:pt>
                <c:pt idx="8">
                  <c:v>801.76951298897347</c:v>
                </c:pt>
                <c:pt idx="9">
                  <c:v>802.84951298897363</c:v>
                </c:pt>
                <c:pt idx="10">
                  <c:v>803.92951298897356</c:v>
                </c:pt>
                <c:pt idx="11">
                  <c:v>805.0095129889736</c:v>
                </c:pt>
                <c:pt idx="12">
                  <c:v>806.08951298897364</c:v>
                </c:pt>
                <c:pt idx="13">
                  <c:v>807.16951298897357</c:v>
                </c:pt>
                <c:pt idx="14">
                  <c:v>808.24951298897349</c:v>
                </c:pt>
                <c:pt idx="15">
                  <c:v>809.32951298897353</c:v>
                </c:pt>
                <c:pt idx="16">
                  <c:v>810.40951298897357</c:v>
                </c:pt>
                <c:pt idx="17">
                  <c:v>811.48951298897362</c:v>
                </c:pt>
                <c:pt idx="18">
                  <c:v>812.56951298897366</c:v>
                </c:pt>
                <c:pt idx="19">
                  <c:v>813.64951298897358</c:v>
                </c:pt>
                <c:pt idx="20">
                  <c:v>814.72951298897351</c:v>
                </c:pt>
                <c:pt idx="21">
                  <c:v>815.80951298897355</c:v>
                </c:pt>
                <c:pt idx="22">
                  <c:v>816.88951298897359</c:v>
                </c:pt>
                <c:pt idx="23">
                  <c:v>817.96951298897363</c:v>
                </c:pt>
                <c:pt idx="24">
                  <c:v>819.04951298897345</c:v>
                </c:pt>
                <c:pt idx="25">
                  <c:v>820.1295129889736</c:v>
                </c:pt>
                <c:pt idx="26">
                  <c:v>821.20951298897364</c:v>
                </c:pt>
                <c:pt idx="27">
                  <c:v>822.28951298897357</c:v>
                </c:pt>
                <c:pt idx="28">
                  <c:v>823.36951298897361</c:v>
                </c:pt>
                <c:pt idx="29">
                  <c:v>824.44951298897365</c:v>
                </c:pt>
                <c:pt idx="30">
                  <c:v>825.52951298897347</c:v>
                </c:pt>
                <c:pt idx="31">
                  <c:v>826.60951298897351</c:v>
                </c:pt>
                <c:pt idx="32">
                  <c:v>827.68951298897355</c:v>
                </c:pt>
                <c:pt idx="33">
                  <c:v>828.76951298897359</c:v>
                </c:pt>
                <c:pt idx="34">
                  <c:v>829.84951298897352</c:v>
                </c:pt>
                <c:pt idx="35">
                  <c:v>830.92951298897356</c:v>
                </c:pt>
                <c:pt idx="36">
                  <c:v>832.00951298897348</c:v>
                </c:pt>
                <c:pt idx="37">
                  <c:v>833.08951298897352</c:v>
                </c:pt>
                <c:pt idx="38">
                  <c:v>834.16951298897345</c:v>
                </c:pt>
                <c:pt idx="39">
                  <c:v>835.24951298897361</c:v>
                </c:pt>
                <c:pt idx="40">
                  <c:v>836.32951298897365</c:v>
                </c:pt>
                <c:pt idx="41">
                  <c:v>837.40951298897346</c:v>
                </c:pt>
                <c:pt idx="42">
                  <c:v>838.48951298897362</c:v>
                </c:pt>
                <c:pt idx="43">
                  <c:v>839.56951298897354</c:v>
                </c:pt>
                <c:pt idx="44">
                  <c:v>840.64951298897358</c:v>
                </c:pt>
                <c:pt idx="45">
                  <c:v>841.72951298897351</c:v>
                </c:pt>
                <c:pt idx="46">
                  <c:v>842.80951298897344</c:v>
                </c:pt>
                <c:pt idx="47">
                  <c:v>843.88951298897359</c:v>
                </c:pt>
                <c:pt idx="48">
                  <c:v>844.96951298897352</c:v>
                </c:pt>
                <c:pt idx="49">
                  <c:v>846.04951298897356</c:v>
                </c:pt>
                <c:pt idx="50">
                  <c:v>847.1295129889736</c:v>
                </c:pt>
              </c:numCache>
            </c:numRef>
          </c:yVal>
          <c:smooth val="1"/>
        </c:ser>
        <c:dLbls>
          <c:showLegendKey val="0"/>
          <c:showVal val="0"/>
          <c:showCatName val="0"/>
          <c:showSerName val="0"/>
          <c:showPercent val="0"/>
          <c:showBubbleSize val="0"/>
        </c:dLbls>
        <c:axId val="130234240"/>
        <c:axId val="130256896"/>
      </c:scatterChart>
      <c:valAx>
        <c:axId val="13023424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30256896"/>
        <c:crosses val="autoZero"/>
        <c:crossBetween val="midCat"/>
      </c:valAx>
      <c:valAx>
        <c:axId val="130256896"/>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30234240"/>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1"/>
          <c:order val="0"/>
          <c:tx>
            <c:v>Flyback 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Flyback_DCM_Calc!$CV$4:$CV$54</c:f>
              <c:numCache>
                <c:formatCode>##0.0E+0</c:formatCode>
                <c:ptCount val="51"/>
                <c:pt idx="0">
                  <c:v>4.0746163573122433E-2</c:v>
                </c:pt>
                <c:pt idx="1">
                  <c:v>4.0605282618784266E-2</c:v>
                </c:pt>
                <c:pt idx="2">
                  <c:v>4.0462093542014632E-2</c:v>
                </c:pt>
                <c:pt idx="3">
                  <c:v>4.03165391516489E-2</c:v>
                </c:pt>
                <c:pt idx="4">
                  <c:v>4.0168560351326432E-2</c:v>
                </c:pt>
                <c:pt idx="5">
                  <c:v>4.0018096059489978E-2</c:v>
                </c:pt>
                <c:pt idx="6">
                  <c:v>3.9865083125320049E-2</c:v>
                </c:pt>
                <c:pt idx="7">
                  <c:v>3.970945624036077E-2</c:v>
                </c:pt>
                <c:pt idx="8">
                  <c:v>3.9551147845577658E-2</c:v>
                </c:pt>
                <c:pt idx="9">
                  <c:v>3.9390088033569505E-2</c:v>
                </c:pt>
                <c:pt idx="10">
                  <c:v>3.9226204445636521E-2</c:v>
                </c:pt>
                <c:pt idx="11">
                  <c:v>3.9059422163387002E-2</c:v>
                </c:pt>
                <c:pt idx="12">
                  <c:v>3.8889663594540824E-2</c:v>
                </c:pt>
                <c:pt idx="13">
                  <c:v>3.8716848352564386E-2</c:v>
                </c:pt>
                <c:pt idx="14">
                  <c:v>3.8540893129744472E-2</c:v>
                </c:pt>
                <c:pt idx="15">
                  <c:v>3.8361711563280339E-2</c:v>
                </c:pt>
                <c:pt idx="16">
                  <c:v>3.8179214093941281E-2</c:v>
                </c:pt>
                <c:pt idx="17">
                  <c:v>3.7993307816804114E-2</c:v>
                </c:pt>
                <c:pt idx="18">
                  <c:v>3.7803896323547741E-2</c:v>
                </c:pt>
                <c:pt idx="19">
                  <c:v>3.7610879535742249E-2</c:v>
                </c:pt>
                <c:pt idx="20">
                  <c:v>3.7414153528526964E-2</c:v>
                </c:pt>
                <c:pt idx="21">
                  <c:v>3.7213610344024733E-2</c:v>
                </c:pt>
                <c:pt idx="22">
                  <c:v>3.7009137793788408E-2</c:v>
                </c:pt>
                <c:pt idx="23">
                  <c:v>3.68006192495203E-2</c:v>
                </c:pt>
                <c:pt idx="24">
                  <c:v>3.6587933421243855E-2</c:v>
                </c:pt>
                <c:pt idx="25">
                  <c:v>3.6370954122041478E-2</c:v>
                </c:pt>
                <c:pt idx="26">
                  <c:v>3.6149550018399167E-2</c:v>
                </c:pt>
                <c:pt idx="27">
                  <c:v>3.5923584365120574E-2</c:v>
                </c:pt>
                <c:pt idx="28">
                  <c:v>3.569291472368584E-2</c:v>
                </c:pt>
                <c:pt idx="29">
                  <c:v>3.5457392662836422E-2</c:v>
                </c:pt>
                <c:pt idx="30">
                  <c:v>3.5216863440063424E-2</c:v>
                </c:pt>
                <c:pt idx="31">
                  <c:v>3.4971165662563121E-2</c:v>
                </c:pt>
                <c:pt idx="32">
                  <c:v>3.472013092609863E-2</c:v>
                </c:pt>
                <c:pt idx="33">
                  <c:v>3.4463583430069632E-2</c:v>
                </c:pt>
                <c:pt idx="34">
                  <c:v>3.420133956694129E-2</c:v>
                </c:pt>
                <c:pt idx="35">
                  <c:v>3.3933207484017167E-2</c:v>
                </c:pt>
                <c:pt idx="36">
                  <c:v>3.3658986615357982E-2</c:v>
                </c:pt>
                <c:pt idx="37">
                  <c:v>3.3378467181446755E-2</c:v>
                </c:pt>
                <c:pt idx="38">
                  <c:v>3.309142965397649E-2</c:v>
                </c:pt>
                <c:pt idx="39">
                  <c:v>3.2797644182891342E-2</c:v>
                </c:pt>
                <c:pt idx="40">
                  <c:v>3.2496869982538083E-2</c:v>
                </c:pt>
                <c:pt idx="41">
                  <c:v>3.2188854673482592E-2</c:v>
                </c:pt>
                <c:pt idx="42">
                  <c:v>3.1873333576210069E-2</c:v>
                </c:pt>
                <c:pt idx="43">
                  <c:v>3.1550028952554363E-2</c:v>
                </c:pt>
                <c:pt idx="44">
                  <c:v>3.1218649190287502E-2</c:v>
                </c:pt>
                <c:pt idx="45">
                  <c:v>3.0878887925836804E-2</c:v>
                </c:pt>
                <c:pt idx="46">
                  <c:v>3.0530423099583311E-2</c:v>
                </c:pt>
                <c:pt idx="47">
                  <c:v>3.0172915937617336E-2</c:v>
                </c:pt>
                <c:pt idx="48">
                  <c:v>2.9806009853184847E-2</c:v>
                </c:pt>
                <c:pt idx="49">
                  <c:v>2.9429329260336326E-2</c:v>
                </c:pt>
                <c:pt idx="50">
                  <c:v>2.9042478291480885E-2</c:v>
                </c:pt>
              </c:numCache>
            </c:numRef>
          </c:yVal>
          <c:smooth val="1"/>
        </c:ser>
        <c:dLbls>
          <c:showLegendKey val="0"/>
          <c:showVal val="0"/>
          <c:showCatName val="0"/>
          <c:showSerName val="0"/>
          <c:showPercent val="0"/>
          <c:showBubbleSize val="0"/>
        </c:dLbls>
        <c:axId val="130290048"/>
        <c:axId val="130291968"/>
      </c:scatterChart>
      <c:valAx>
        <c:axId val="13029004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30291968"/>
        <c:crosses val="autoZero"/>
        <c:crossBetween val="midCat"/>
      </c:valAx>
      <c:valAx>
        <c:axId val="130291968"/>
        <c:scaling>
          <c:orientation val="minMax"/>
        </c:scaling>
        <c:delete val="0"/>
        <c:axPos val="l"/>
        <c:majorGridlines/>
        <c:title>
          <c:tx>
            <c:rich>
              <a:bodyPr rot="-5400000" vert="horz"/>
              <a:lstStyle/>
              <a:p>
                <a:pPr>
                  <a:defRPr/>
                </a:pPr>
                <a:r>
                  <a:rPr lang="en-US"/>
                  <a:t>Clamp</a:t>
                </a:r>
                <a:r>
                  <a:rPr lang="en-US" baseline="0"/>
                  <a:t> Power (W)</a:t>
                </a:r>
                <a:endParaRPr lang="en-US"/>
              </a:p>
            </c:rich>
          </c:tx>
          <c:overlay val="0"/>
        </c:title>
        <c:numFmt formatCode="##0.000E+0" sourceLinked="0"/>
        <c:majorTickMark val="out"/>
        <c:minorTickMark val="none"/>
        <c:tickLblPos val="nextTo"/>
        <c:crossAx val="130290048"/>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Power Efficiency 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Flyback_DCM_Calc!$CY$4:$CY$54</c:f>
              <c:numCache>
                <c:formatCode>##0.0E+0</c:formatCode>
                <c:ptCount val="51"/>
                <c:pt idx="0">
                  <c:v>0.94635030787647068</c:v>
                </c:pt>
                <c:pt idx="1">
                  <c:v>0.95032733778604794</c:v>
                </c:pt>
                <c:pt idx="2">
                  <c:v>0.95285642625820055</c:v>
                </c:pt>
                <c:pt idx="3">
                  <c:v>0.95456531506460185</c:v>
                </c:pt>
                <c:pt idx="4">
                  <c:v>0.95577558279429131</c:v>
                </c:pt>
                <c:pt idx="5">
                  <c:v>0.95666559854798228</c:v>
                </c:pt>
                <c:pt idx="6">
                  <c:v>0.95734068331230793</c:v>
                </c:pt>
                <c:pt idx="7">
                  <c:v>0.95786624712726021</c:v>
                </c:pt>
                <c:pt idx="8">
                  <c:v>0.95828464084939002</c:v>
                </c:pt>
                <c:pt idx="9">
                  <c:v>0.95862426048216276</c:v>
                </c:pt>
                <c:pt idx="10">
                  <c:v>0.95890472035358543</c:v>
                </c:pt>
                <c:pt idx="11">
                  <c:v>0.95913992087508326</c:v>
                </c:pt>
                <c:pt idx="12">
                  <c:v>0.95933993569789144</c:v>
                </c:pt>
                <c:pt idx="13">
                  <c:v>0.95951221014287458</c:v>
                </c:pt>
                <c:pt idx="14">
                  <c:v>0.95966234377357462</c:v>
                </c:pt>
                <c:pt idx="15">
                  <c:v>0.95979461416000522</c:v>
                </c:pt>
                <c:pt idx="16">
                  <c:v>0.95991233519722285</c:v>
                </c:pt>
                <c:pt idx="17">
                  <c:v>0.96001810710321056</c:v>
                </c:pt>
                <c:pt idx="18">
                  <c:v>0.96011399395820762</c:v>
                </c:pt>
                <c:pt idx="19">
                  <c:v>0.96020165182626516</c:v>
                </c:pt>
                <c:pt idx="20">
                  <c:v>0.96028242257536067</c:v>
                </c:pt>
                <c:pt idx="21">
                  <c:v>0.96035740350384957</c:v>
                </c:pt>
                <c:pt idx="22">
                  <c:v>0.96042749965038621</c:v>
                </c:pt>
                <c:pt idx="23">
                  <c:v>0.9604934635414587</c:v>
                </c:pt>
                <c:pt idx="24">
                  <c:v>0.96055592571157322</c:v>
                </c:pt>
                <c:pt idx="25">
                  <c:v>0.96061541836747333</c:v>
                </c:pt>
                <c:pt idx="26">
                  <c:v>0.9606723939038353</c:v>
                </c:pt>
                <c:pt idx="27">
                  <c:v>0.96072723951422656</c:v>
                </c:pt>
                <c:pt idx="28">
                  <c:v>0.96078028881324129</c:v>
                </c:pt>
                <c:pt idx="29">
                  <c:v>0.96083183115115689</c:v>
                </c:pt>
                <c:pt idx="30">
                  <c:v>0.96088211913279076</c:v>
                </c:pt>
                <c:pt idx="31">
                  <c:v>0.96093137472826551</c:v>
                </c:pt>
                <c:pt idx="32">
                  <c:v>0.96097979427192737</c:v>
                </c:pt>
                <c:pt idx="33">
                  <c:v>0.96102755257758155</c:v>
                </c:pt>
                <c:pt idx="34">
                  <c:v>0.96107480634709463</c:v>
                </c:pt>
                <c:pt idx="35">
                  <c:v>0.9611216970107378</c:v>
                </c:pt>
                <c:pt idx="36">
                  <c:v>0.96116835310815207</c:v>
                </c:pt>
                <c:pt idx="37">
                  <c:v>0.96121489229617529</c:v>
                </c:pt>
                <c:pt idx="38">
                  <c:v>0.96126142305226636</c:v>
                </c:pt>
                <c:pt idx="39">
                  <c:v>0.96130804612864584</c:v>
                </c:pt>
                <c:pt idx="40">
                  <c:v>0.96135485580161983</c:v>
                </c:pt>
                <c:pt idx="41">
                  <c:v>0.96140194095217368</c:v>
                </c:pt>
                <c:pt idx="42">
                  <c:v>0.96144938600729457</c:v>
                </c:pt>
                <c:pt idx="43">
                  <c:v>0.9614972717662158</c:v>
                </c:pt>
                <c:pt idx="44">
                  <c:v>0.96154567613157871</c:v>
                </c:pt>
                <c:pt idx="45">
                  <c:v>0.961594674762145</c:v>
                </c:pt>
                <c:pt idx="46">
                  <c:v>0.96164434166099511</c:v>
                </c:pt>
                <c:pt idx="47">
                  <c:v>0.9616947497109759</c:v>
                </c:pt>
                <c:pt idx="48">
                  <c:v>0.96174597116741412</c:v>
                </c:pt>
                <c:pt idx="49">
                  <c:v>0.96179807811670848</c:v>
                </c:pt>
                <c:pt idx="50">
                  <c:v>0.96185114290828211</c:v>
                </c:pt>
              </c:numCache>
            </c:numRef>
          </c:yVal>
          <c:smooth val="1"/>
        </c:ser>
        <c:dLbls>
          <c:showLegendKey val="0"/>
          <c:showVal val="0"/>
          <c:showCatName val="0"/>
          <c:showSerName val="0"/>
          <c:showPercent val="0"/>
          <c:showBubbleSize val="0"/>
        </c:dLbls>
        <c:axId val="130325120"/>
        <c:axId val="130327296"/>
      </c:scatterChart>
      <c:valAx>
        <c:axId val="130325120"/>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30327296"/>
        <c:crosses val="autoZero"/>
        <c:crossBetween val="midCat"/>
      </c:valAx>
      <c:valAx>
        <c:axId val="130327296"/>
        <c:scaling>
          <c:orientation val="minMax"/>
        </c:scaling>
        <c:delete val="0"/>
        <c:axPos val="l"/>
        <c:majorGridlines/>
        <c:title>
          <c:tx>
            <c:rich>
              <a:bodyPr rot="-5400000" vert="horz"/>
              <a:lstStyle/>
              <a:p>
                <a:pPr>
                  <a:defRPr/>
                </a:pPr>
                <a:r>
                  <a:rPr lang="en-US"/>
                  <a:t>Efficiency</a:t>
                </a:r>
                <a:r>
                  <a:rPr lang="en-US" baseline="0"/>
                  <a:t> (%)</a:t>
                </a:r>
                <a:endParaRPr lang="en-US"/>
              </a:p>
            </c:rich>
          </c:tx>
          <c:overlay val="0"/>
        </c:title>
        <c:numFmt formatCode="0.0%" sourceLinked="0"/>
        <c:majorTickMark val="out"/>
        <c:minorTickMark val="none"/>
        <c:tickLblPos val="nextTo"/>
        <c:crossAx val="130325120"/>
        <c:crosses val="autoZero"/>
        <c:crossBetween val="midCat"/>
      </c:valAx>
    </c:plotArea>
    <c:legend>
      <c:legendPos val="r"/>
      <c:layout>
        <c:manualLayout>
          <c:xMode val="edge"/>
          <c:yMode val="edge"/>
          <c:x val="0.17491666666666675"/>
          <c:y val="0.19256954188322781"/>
          <c:w val="0.13897222222222222"/>
          <c:h val="0.16208771043248232"/>
        </c:manualLayout>
      </c:layou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Losses vs VIN</a:t>
            </a:r>
            <a:endParaRPr lang="en-US">
              <a:effectLst/>
            </a:endParaRPr>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Transformer</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Flyback_DCM_Calc!$CI$4:$CI$54</c:f>
              <c:numCache>
                <c:formatCode>General</c:formatCode>
                <c:ptCount val="51"/>
                <c:pt idx="0">
                  <c:v>0.11187500000000002</c:v>
                </c:pt>
                <c:pt idx="1">
                  <c:v>8.1051422005170959E-2</c:v>
                </c:pt>
                <c:pt idx="2">
                  <c:v>6.1634407439446384E-2</c:v>
                </c:pt>
                <c:pt idx="3">
                  <c:v>4.8618654073199534E-2</c:v>
                </c:pt>
                <c:pt idx="4">
                  <c:v>3.9470997836668471E-2</c:v>
                </c:pt>
                <c:pt idx="5">
                  <c:v>3.2797783933518017E-2</c:v>
                </c:pt>
                <c:pt idx="6">
                  <c:v>2.778083394970415E-2</c:v>
                </c:pt>
                <c:pt idx="7">
                  <c:v>2.3914167123502233E-2</c:v>
                </c:pt>
                <c:pt idx="8">
                  <c:v>2.0871237570545556E-2</c:v>
                </c:pt>
                <c:pt idx="9">
                  <c:v>1.8433657712254532E-2</c:v>
                </c:pt>
                <c:pt idx="10">
                  <c:v>1.6450892857142858E-2</c:v>
                </c:pt>
                <c:pt idx="11">
                  <c:v>1.4816449709472546E-2</c:v>
                </c:pt>
                <c:pt idx="12">
                  <c:v>1.3453272712706297E-2</c:v>
                </c:pt>
                <c:pt idx="13">
                  <c:v>1.2304492810785616E-2</c:v>
                </c:pt>
                <c:pt idx="14">
                  <c:v>1.1327398631198349E-2</c:v>
                </c:pt>
                <c:pt idx="15">
                  <c:v>1.0489408327246166E-2</c:v>
                </c:pt>
                <c:pt idx="16">
                  <c:v>9.7653177808481231E-3</c:v>
                </c:pt>
                <c:pt idx="17">
                  <c:v>9.1353830473925608E-3</c:v>
                </c:pt>
                <c:pt idx="18">
                  <c:v>8.5839600391598419E-3</c:v>
                </c:pt>
                <c:pt idx="19">
                  <c:v>8.0985237812493584E-3</c:v>
                </c:pt>
                <c:pt idx="20">
                  <c:v>7.6689508506616252E-3</c:v>
                </c:pt>
                <c:pt idx="21">
                  <c:v>7.2869872726317817E-3</c:v>
                </c:pt>
                <c:pt idx="22">
                  <c:v>6.945849050468262E-3</c:v>
                </c:pt>
                <c:pt idx="23">
                  <c:v>6.6399188481279046E-3</c:v>
                </c:pt>
                <c:pt idx="24">
                  <c:v>6.3645132568262777E-3</c:v>
                </c:pt>
                <c:pt idx="25">
                  <c:v>6.1157024793388436E-3</c:v>
                </c:pt>
                <c:pt idx="26">
                  <c:v>5.8901693612378502E-3</c:v>
                </c:pt>
                <c:pt idx="27">
                  <c:v>5.685098253910937E-3</c:v>
                </c:pt>
                <c:pt idx="28">
                  <c:v>5.49808670672339E-3</c:v>
                </c:pt>
                <c:pt idx="29">
                  <c:v>5.3270747821052315E-3</c:v>
                </c:pt>
                <c:pt idx="30">
                  <c:v>5.1702880859375005E-3</c:v>
                </c:pt>
                <c:pt idx="31">
                  <c:v>5.0261915540322066E-3</c:v>
                </c:pt>
                <c:pt idx="32">
                  <c:v>4.8934517348832324E-3</c:v>
                </c:pt>
                <c:pt idx="33">
                  <c:v>4.7709058292984743E-3</c:v>
                </c:pt>
                <c:pt idx="34">
                  <c:v>4.6575361381138748E-3</c:v>
                </c:pt>
                <c:pt idx="35">
                  <c:v>4.5524488647025706E-3</c:v>
                </c:pt>
                <c:pt idx="36">
                  <c:v>4.4548564442792194E-3</c:v>
                </c:pt>
                <c:pt idx="37">
                  <c:v>4.3640627449911037E-3</c:v>
                </c:pt>
                <c:pt idx="38">
                  <c:v>4.2794506195335275E-3</c:v>
                </c:pt>
                <c:pt idx="39">
                  <c:v>4.200471390103295E-3</c:v>
                </c:pt>
                <c:pt idx="40">
                  <c:v>4.1266359309934568E-3</c:v>
                </c:pt>
                <c:pt idx="41">
                  <c:v>4.0575070773121603E-3</c:v>
                </c:pt>
                <c:pt idx="42">
                  <c:v>3.9926931391387893E-3</c:v>
                </c:pt>
                <c:pt idx="43">
                  <c:v>3.9318423409034978E-3</c:v>
                </c:pt>
                <c:pt idx="44">
                  <c:v>3.8746380381668643E-3</c:v>
                </c:pt>
                <c:pt idx="45">
                  <c:v>3.8207945900253599E-3</c:v>
                </c:pt>
                <c:pt idx="46">
                  <c:v>3.7700537864149824E-3</c:v>
                </c:pt>
                <c:pt idx="47">
                  <c:v>3.7221817466667265E-3</c:v>
                </c:pt>
                <c:pt idx="48">
                  <c:v>3.6769662195898834E-3</c:v>
                </c:pt>
                <c:pt idx="49">
                  <c:v>3.6342142267536638E-3</c:v>
                </c:pt>
                <c:pt idx="50">
                  <c:v>3.5937500000000002E-3</c:v>
                </c:pt>
              </c:numCache>
            </c:numRef>
          </c:yVal>
          <c:smooth val="1"/>
        </c:ser>
        <c:ser>
          <c:idx val="0"/>
          <c:order val="1"/>
          <c:tx>
            <c:v>MOSFET</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Flyback_DCM_Calc!$CM$4:$CM$54</c:f>
              <c:numCache>
                <c:formatCode>General</c:formatCode>
                <c:ptCount val="51"/>
                <c:pt idx="0">
                  <c:v>0.12256250000000002</c:v>
                </c:pt>
                <c:pt idx="1">
                  <c:v>0.12036081585751224</c:v>
                </c:pt>
                <c:pt idx="2">
                  <c:v>0.11897388624567476</c:v>
                </c:pt>
                <c:pt idx="3">
                  <c:v>0.11804418957665713</c:v>
                </c:pt>
                <c:pt idx="4">
                  <c:v>0.11739078555976205</c:v>
                </c:pt>
                <c:pt idx="5">
                  <c:v>0.11691412742382273</c:v>
                </c:pt>
                <c:pt idx="6">
                  <c:v>0.11655577385355032</c:v>
                </c:pt>
                <c:pt idx="7">
                  <c:v>0.11627958336596447</c:v>
                </c:pt>
                <c:pt idx="8">
                  <c:v>0.11606223125503899</c:v>
                </c:pt>
                <c:pt idx="9">
                  <c:v>0.11588811840801821</c:v>
                </c:pt>
                <c:pt idx="10">
                  <c:v>0.11574649234693879</c:v>
                </c:pt>
                <c:pt idx="11">
                  <c:v>0.11562974640781948</c:v>
                </c:pt>
                <c:pt idx="12">
                  <c:v>0.11553237662233617</c:v>
                </c:pt>
                <c:pt idx="13">
                  <c:v>0.11545032091505614</c:v>
                </c:pt>
                <c:pt idx="14">
                  <c:v>0.11538052847365704</c:v>
                </c:pt>
                <c:pt idx="15">
                  <c:v>0.11532067202337476</c:v>
                </c:pt>
                <c:pt idx="16">
                  <c:v>0.11526895127006059</c:v>
                </c:pt>
                <c:pt idx="17">
                  <c:v>0.11522395593195664</c:v>
                </c:pt>
                <c:pt idx="18">
                  <c:v>0.11518456857422571</c:v>
                </c:pt>
                <c:pt idx="19">
                  <c:v>0.11514989455580354</c:v>
                </c:pt>
                <c:pt idx="20">
                  <c:v>0.11511921077504728</c:v>
                </c:pt>
                <c:pt idx="21">
                  <c:v>0.11509192766233087</c:v>
                </c:pt>
                <c:pt idx="22">
                  <c:v>0.11506756064646204</c:v>
                </c:pt>
                <c:pt idx="23">
                  <c:v>0.11504570848915202</c:v>
                </c:pt>
                <c:pt idx="24">
                  <c:v>0.1150260366612019</c:v>
                </c:pt>
                <c:pt idx="25">
                  <c:v>0.11500826446280993</c:v>
                </c:pt>
                <c:pt idx="26">
                  <c:v>0.11499215495437415</c:v>
                </c:pt>
                <c:pt idx="27">
                  <c:v>0.11497750701813651</c:v>
                </c:pt>
                <c:pt idx="28">
                  <c:v>0.11496414905048027</c:v>
                </c:pt>
                <c:pt idx="29">
                  <c:v>0.11495193391300754</c:v>
                </c:pt>
                <c:pt idx="30">
                  <c:v>0.11494073486328127</c:v>
                </c:pt>
                <c:pt idx="31">
                  <c:v>0.11493044225385947</c:v>
                </c:pt>
                <c:pt idx="32">
                  <c:v>0.11492096083820597</c:v>
                </c:pt>
                <c:pt idx="33">
                  <c:v>0.11491220755923562</c:v>
                </c:pt>
                <c:pt idx="34">
                  <c:v>0.11490410972415101</c:v>
                </c:pt>
                <c:pt idx="35">
                  <c:v>0.11489660349033591</c:v>
                </c:pt>
                <c:pt idx="36">
                  <c:v>0.11488963260316282</c:v>
                </c:pt>
                <c:pt idx="37">
                  <c:v>0.11488314733892796</c:v>
                </c:pt>
                <c:pt idx="38">
                  <c:v>0.11487710361568099</c:v>
                </c:pt>
                <c:pt idx="39">
                  <c:v>0.11487146224215025</c:v>
                </c:pt>
                <c:pt idx="40">
                  <c:v>0.11486618828078526</c:v>
                </c:pt>
                <c:pt idx="41">
                  <c:v>0.11486125050552232</c:v>
                </c:pt>
                <c:pt idx="42">
                  <c:v>0.11485662093850993</c:v>
                </c:pt>
                <c:pt idx="43">
                  <c:v>0.1148522744529217</c:v>
                </c:pt>
                <c:pt idx="44">
                  <c:v>0.11484818843129765</c:v>
                </c:pt>
                <c:pt idx="45">
                  <c:v>0.11484434247071612</c:v>
                </c:pt>
                <c:pt idx="46">
                  <c:v>0.1148407181276011</c:v>
                </c:pt>
                <c:pt idx="47">
                  <c:v>0.1148372986961905</c:v>
                </c:pt>
                <c:pt idx="48">
                  <c:v>0.11483406901568502</c:v>
                </c:pt>
                <c:pt idx="49">
                  <c:v>0.114831015301911</c:v>
                </c:pt>
                <c:pt idx="50">
                  <c:v>0.11482812500000002</c:v>
                </c:pt>
              </c:numCache>
            </c:numRef>
          </c:yVal>
          <c:smooth val="1"/>
        </c:ser>
        <c:ser>
          <c:idx val="2"/>
          <c:order val="2"/>
          <c:tx>
            <c:v>Diode</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Flyback_DCM_Calc!$CU$4:$CU$54</c:f>
              <c:numCache>
                <c:formatCode>General</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ser>
          <c:idx val="3"/>
          <c:order val="3"/>
          <c:tx>
            <c:v>Clamp</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Flyback_DCM_Calc!$CV$4:$CV$54</c:f>
              <c:numCache>
                <c:formatCode>##0.0E+0</c:formatCode>
                <c:ptCount val="51"/>
                <c:pt idx="0">
                  <c:v>4.0746163573122433E-2</c:v>
                </c:pt>
                <c:pt idx="1">
                  <c:v>4.0605282618784266E-2</c:v>
                </c:pt>
                <c:pt idx="2">
                  <c:v>4.0462093542014632E-2</c:v>
                </c:pt>
                <c:pt idx="3">
                  <c:v>4.03165391516489E-2</c:v>
                </c:pt>
                <c:pt idx="4">
                  <c:v>4.0168560351326432E-2</c:v>
                </c:pt>
                <c:pt idx="5">
                  <c:v>4.0018096059489978E-2</c:v>
                </c:pt>
                <c:pt idx="6">
                  <c:v>3.9865083125320049E-2</c:v>
                </c:pt>
                <c:pt idx="7">
                  <c:v>3.970945624036077E-2</c:v>
                </c:pt>
                <c:pt idx="8">
                  <c:v>3.9551147845577658E-2</c:v>
                </c:pt>
                <c:pt idx="9">
                  <c:v>3.9390088033569505E-2</c:v>
                </c:pt>
                <c:pt idx="10">
                  <c:v>3.9226204445636521E-2</c:v>
                </c:pt>
                <c:pt idx="11">
                  <c:v>3.9059422163387002E-2</c:v>
                </c:pt>
                <c:pt idx="12">
                  <c:v>3.8889663594540824E-2</c:v>
                </c:pt>
                <c:pt idx="13">
                  <c:v>3.8716848352564386E-2</c:v>
                </c:pt>
                <c:pt idx="14">
                  <c:v>3.8540893129744472E-2</c:v>
                </c:pt>
                <c:pt idx="15">
                  <c:v>3.8361711563280339E-2</c:v>
                </c:pt>
                <c:pt idx="16">
                  <c:v>3.8179214093941281E-2</c:v>
                </c:pt>
                <c:pt idx="17">
                  <c:v>3.7993307816804114E-2</c:v>
                </c:pt>
                <c:pt idx="18">
                  <c:v>3.7803896323547741E-2</c:v>
                </c:pt>
                <c:pt idx="19">
                  <c:v>3.7610879535742249E-2</c:v>
                </c:pt>
                <c:pt idx="20">
                  <c:v>3.7414153528526964E-2</c:v>
                </c:pt>
                <c:pt idx="21">
                  <c:v>3.7213610344024733E-2</c:v>
                </c:pt>
                <c:pt idx="22">
                  <c:v>3.7009137793788408E-2</c:v>
                </c:pt>
                <c:pt idx="23">
                  <c:v>3.68006192495203E-2</c:v>
                </c:pt>
                <c:pt idx="24">
                  <c:v>3.6587933421243855E-2</c:v>
                </c:pt>
                <c:pt idx="25">
                  <c:v>3.6370954122041478E-2</c:v>
                </c:pt>
                <c:pt idx="26">
                  <c:v>3.6149550018399167E-2</c:v>
                </c:pt>
                <c:pt idx="27">
                  <c:v>3.5923584365120574E-2</c:v>
                </c:pt>
                <c:pt idx="28">
                  <c:v>3.569291472368584E-2</c:v>
                </c:pt>
                <c:pt idx="29">
                  <c:v>3.5457392662836422E-2</c:v>
                </c:pt>
                <c:pt idx="30">
                  <c:v>3.5216863440063424E-2</c:v>
                </c:pt>
                <c:pt idx="31">
                  <c:v>3.4971165662563121E-2</c:v>
                </c:pt>
                <c:pt idx="32">
                  <c:v>3.472013092609863E-2</c:v>
                </c:pt>
                <c:pt idx="33">
                  <c:v>3.4463583430069632E-2</c:v>
                </c:pt>
                <c:pt idx="34">
                  <c:v>3.420133956694129E-2</c:v>
                </c:pt>
                <c:pt idx="35">
                  <c:v>3.3933207484017167E-2</c:v>
                </c:pt>
                <c:pt idx="36">
                  <c:v>3.3658986615357982E-2</c:v>
                </c:pt>
                <c:pt idx="37">
                  <c:v>3.3378467181446755E-2</c:v>
                </c:pt>
                <c:pt idx="38">
                  <c:v>3.309142965397649E-2</c:v>
                </c:pt>
                <c:pt idx="39">
                  <c:v>3.2797644182891342E-2</c:v>
                </c:pt>
                <c:pt idx="40">
                  <c:v>3.2496869982538083E-2</c:v>
                </c:pt>
                <c:pt idx="41">
                  <c:v>3.2188854673482592E-2</c:v>
                </c:pt>
                <c:pt idx="42">
                  <c:v>3.1873333576210069E-2</c:v>
                </c:pt>
                <c:pt idx="43">
                  <c:v>3.1550028952554363E-2</c:v>
                </c:pt>
                <c:pt idx="44">
                  <c:v>3.1218649190287502E-2</c:v>
                </c:pt>
                <c:pt idx="45">
                  <c:v>3.0878887925836804E-2</c:v>
                </c:pt>
                <c:pt idx="46">
                  <c:v>3.0530423099583311E-2</c:v>
                </c:pt>
                <c:pt idx="47">
                  <c:v>3.0172915937617336E-2</c:v>
                </c:pt>
                <c:pt idx="48">
                  <c:v>2.9806009853184847E-2</c:v>
                </c:pt>
                <c:pt idx="49">
                  <c:v>2.9429329260336326E-2</c:v>
                </c:pt>
                <c:pt idx="50">
                  <c:v>2.9042478291480885E-2</c:v>
                </c:pt>
              </c:numCache>
            </c:numRef>
          </c:yVal>
          <c:smooth val="1"/>
        </c:ser>
        <c:dLbls>
          <c:showLegendKey val="0"/>
          <c:showVal val="0"/>
          <c:showCatName val="0"/>
          <c:showSerName val="0"/>
          <c:showPercent val="0"/>
          <c:showBubbleSize val="0"/>
        </c:dLbls>
        <c:axId val="130878848"/>
        <c:axId val="130905600"/>
      </c:scatterChart>
      <c:valAx>
        <c:axId val="13087884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30905600"/>
        <c:crosses val="autoZero"/>
        <c:crossBetween val="midCat"/>
      </c:valAx>
      <c:valAx>
        <c:axId val="130905600"/>
        <c:scaling>
          <c:orientation val="minMax"/>
        </c:scaling>
        <c:delete val="0"/>
        <c:axPos val="l"/>
        <c:majorGridlines/>
        <c:title>
          <c:tx>
            <c:rich>
              <a:bodyPr rot="-5400000" vert="horz"/>
              <a:lstStyle/>
              <a:p>
                <a:pPr>
                  <a:defRPr/>
                </a:pPr>
                <a:r>
                  <a:rPr lang="en-US" baseline="0"/>
                  <a:t>Losses (W)</a:t>
                </a:r>
                <a:endParaRPr lang="en-US"/>
              </a:p>
            </c:rich>
          </c:tx>
          <c:overlay val="0"/>
        </c:title>
        <c:numFmt formatCode="General" sourceLinked="0"/>
        <c:majorTickMark val="out"/>
        <c:minorTickMark val="none"/>
        <c:tickLblPos val="nextTo"/>
        <c:crossAx val="130878848"/>
        <c:crosses val="autoZero"/>
        <c:crossBetween val="midCat"/>
      </c:valAx>
    </c:plotArea>
    <c:legend>
      <c:legendPos val="r"/>
      <c:layout>
        <c:manualLayout>
          <c:xMode val="edge"/>
          <c:yMode val="edge"/>
          <c:x val="0.77491666666666681"/>
          <c:y val="0.19256954188322781"/>
          <c:w val="0.19573622047244094"/>
          <c:h val="0.28087072394702595"/>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DCM'!$B$129,'Flyback DCM'!$B$130,'Flyback DCM'!$B$131,'Flyback DCM'!$B$132,'Flyback DCM'!$B$133,'Flyback DCM'!$B$134,'Flyback DCM'!$B$135)</c:f>
              <c:numCache>
                <c:formatCode>General</c:formatCode>
                <c:ptCount val="7"/>
                <c:pt idx="0">
                  <c:v>37.5</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30918656"/>
        <c:axId val="130928640"/>
      </c:barChart>
      <c:catAx>
        <c:axId val="130918656"/>
        <c:scaling>
          <c:orientation val="minMax"/>
        </c:scaling>
        <c:delete val="0"/>
        <c:axPos val="b"/>
        <c:majorTickMark val="out"/>
        <c:minorTickMark val="none"/>
        <c:tickLblPos val="nextTo"/>
        <c:crossAx val="130928640"/>
        <c:crosses val="autoZero"/>
        <c:auto val="1"/>
        <c:lblAlgn val="ctr"/>
        <c:lblOffset val="100"/>
        <c:noMultiLvlLbl val="0"/>
      </c:catAx>
      <c:valAx>
        <c:axId val="130928640"/>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30918656"/>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DCM'!$B$138,'Flyback DCM'!$B$141,'Flyback DCM'!$B$144,'Flyback DCM'!$B$147,'Flyback DCM'!$B$150,'Flyback DCM'!$B$153,'Flyback DCM'!$B$156)</c:f>
              <c:numCache>
                <c:formatCode>0.00</c:formatCode>
                <c:ptCount val="7"/>
                <c:pt idx="0">
                  <c:v>76.928899352295147</c:v>
                </c:pt>
                <c:pt idx="1">
                  <c:v>0</c:v>
                </c:pt>
                <c:pt idx="2">
                  <c:v>0</c:v>
                </c:pt>
                <c:pt idx="3">
                  <c:v>0</c:v>
                </c:pt>
                <c:pt idx="4">
                  <c:v>0</c:v>
                </c:pt>
                <c:pt idx="5">
                  <c:v>0</c:v>
                </c:pt>
                <c:pt idx="6">
                  <c:v>0</c:v>
                </c:pt>
              </c:numCache>
            </c:numRef>
          </c:val>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DCM'!$B$139,'Flyback DCM'!$B$142,'Flyback DCM'!$B$145,'Flyback DCM'!$B$148,'Flyback DCM'!$B$151,'Flyback DCM'!$B$154,'Flyback DCM'!$B$157)</c:f>
              <c:numCache>
                <c:formatCode>General</c:formatCode>
                <c:ptCount val="7"/>
                <c:pt idx="0">
                  <c:v>130</c:v>
                </c:pt>
                <c:pt idx="1">
                  <c:v>0</c:v>
                </c:pt>
                <c:pt idx="2">
                  <c:v>0</c:v>
                </c:pt>
                <c:pt idx="3">
                  <c:v>0</c:v>
                </c:pt>
                <c:pt idx="4">
                  <c:v>0</c:v>
                </c:pt>
                <c:pt idx="5">
                  <c:v>0</c:v>
                </c:pt>
                <c:pt idx="6">
                  <c:v>4</c:v>
                </c:pt>
              </c:numCache>
            </c:numRef>
          </c:val>
        </c:ser>
        <c:dLbls>
          <c:showLegendKey val="0"/>
          <c:showVal val="0"/>
          <c:showCatName val="0"/>
          <c:showSerName val="0"/>
          <c:showPercent val="0"/>
          <c:showBubbleSize val="0"/>
        </c:dLbls>
        <c:gapWidth val="150"/>
        <c:axId val="130663552"/>
        <c:axId val="130665472"/>
      </c:barChart>
      <c:catAx>
        <c:axId val="130663552"/>
        <c:scaling>
          <c:orientation val="minMax"/>
        </c:scaling>
        <c:delete val="0"/>
        <c:axPos val="b"/>
        <c:majorGridlines/>
        <c:title>
          <c:tx>
            <c:rich>
              <a:bodyPr/>
              <a:lstStyle/>
              <a:p>
                <a:pPr>
                  <a:defRPr/>
                </a:pPr>
                <a:r>
                  <a:rPr lang="en-US"/>
                  <a:t>Output</a:t>
                </a:r>
              </a:p>
            </c:rich>
          </c:tx>
          <c:overlay val="0"/>
        </c:title>
        <c:majorTickMark val="out"/>
        <c:minorTickMark val="none"/>
        <c:tickLblPos val="nextTo"/>
        <c:crossAx val="130665472"/>
        <c:crosses val="autoZero"/>
        <c:auto val="1"/>
        <c:lblAlgn val="ctr"/>
        <c:lblOffset val="100"/>
        <c:noMultiLvlLbl val="0"/>
      </c:catAx>
      <c:valAx>
        <c:axId val="130665472"/>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0.00" sourceLinked="1"/>
        <c:majorTickMark val="out"/>
        <c:minorTickMark val="none"/>
        <c:tickLblPos val="nextTo"/>
        <c:crossAx val="130663552"/>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0</c:v>
                </c:pt>
                <c:pt idx="1">
                  <c:v>15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30678144"/>
        <c:axId val="130692224"/>
      </c:barChart>
      <c:catAx>
        <c:axId val="130678144"/>
        <c:scaling>
          <c:orientation val="minMax"/>
        </c:scaling>
        <c:delete val="0"/>
        <c:axPos val="b"/>
        <c:majorGridlines/>
        <c:majorTickMark val="out"/>
        <c:minorTickMark val="none"/>
        <c:tickLblPos val="nextTo"/>
        <c:crossAx val="130692224"/>
        <c:crosses val="autoZero"/>
        <c:auto val="1"/>
        <c:lblAlgn val="ctr"/>
        <c:lblOffset val="100"/>
        <c:noMultiLvlLbl val="0"/>
      </c:catAx>
      <c:valAx>
        <c:axId val="130692224"/>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3067814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Load Efficiency</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'Fly-Buck_Calc'!$CU$4:$CU$54</c:f>
              <c:numCache>
                <c:formatCode>##0.0E+0</c:formatCode>
                <c:ptCount val="51"/>
                <c:pt idx="0">
                  <c:v>0.89704870974493922</c:v>
                </c:pt>
                <c:pt idx="1">
                  <c:v>0.91339340813645697</c:v>
                </c:pt>
                <c:pt idx="2">
                  <c:v>0.92362372995904563</c:v>
                </c:pt>
                <c:pt idx="3">
                  <c:v>0.9302715978719146</c:v>
                </c:pt>
                <c:pt idx="4">
                  <c:v>0.93469281832946882</c:v>
                </c:pt>
                <c:pt idx="5">
                  <c:v>0.93766207787717326</c:v>
                </c:pt>
                <c:pt idx="6">
                  <c:v>0.93964642052255543</c:v>
                </c:pt>
                <c:pt idx="7">
                  <c:v>0.94094031274212797</c:v>
                </c:pt>
                <c:pt idx="8">
                  <c:v>0.94173656079406831</c:v>
                </c:pt>
                <c:pt idx="9">
                  <c:v>0.94216554188938662</c:v>
                </c:pt>
                <c:pt idx="10">
                  <c:v>0.94231790075161714</c:v>
                </c:pt>
                <c:pt idx="11">
                  <c:v>0.9422581988022557</c:v>
                </c:pt>
                <c:pt idx="12">
                  <c:v>0.94203340424911963</c:v>
                </c:pt>
                <c:pt idx="13">
                  <c:v>0.9416783320053107</c:v>
                </c:pt>
                <c:pt idx="14">
                  <c:v>0.94121922186040707</c:v>
                </c:pt>
                <c:pt idx="15">
                  <c:v>0.94067614766223395</c:v>
                </c:pt>
                <c:pt idx="16">
                  <c:v>0.94006467369732927</c:v>
                </c:pt>
                <c:pt idx="17">
                  <c:v>0.93939701515008378</c:v>
                </c:pt>
                <c:pt idx="18">
                  <c:v>0.93868286509711529</c:v>
                </c:pt>
                <c:pt idx="19">
                  <c:v>0.93792999306529756</c:v>
                </c:pt>
                <c:pt idx="20">
                  <c:v>0.93714468442736343</c:v>
                </c:pt>
                <c:pt idx="21">
                  <c:v>0.93633206716888684</c:v>
                </c:pt>
                <c:pt idx="22">
                  <c:v>0.93549635781293405</c:v>
                </c:pt>
                <c:pt idx="23">
                  <c:v>0.93464104855190011</c:v>
                </c:pt>
                <c:pt idx="24">
                  <c:v>0.93376905110072861</c:v>
                </c:pt>
                <c:pt idx="25">
                  <c:v>0.93288280833190262</c:v>
                </c:pt>
                <c:pt idx="26">
                  <c:v>0.93198438167421993</c:v>
                </c:pt>
                <c:pt idx="27">
                  <c:v>0.93107552010156336</c:v>
                </c:pt>
                <c:pt idx="28">
                  <c:v>0.93015771500962818</c:v>
                </c:pt>
                <c:pt idx="29">
                  <c:v>0.92923224418274109</c:v>
                </c:pt>
                <c:pt idx="30">
                  <c:v>0.92830020725873463</c:v>
                </c:pt>
                <c:pt idx="31">
                  <c:v>0.92736255451847982</c:v>
                </c:pt>
                <c:pt idx="32">
                  <c:v>0.92642011039708538</c:v>
                </c:pt>
                <c:pt idx="33">
                  <c:v>0.92547359279351049</c:v>
                </c:pt>
                <c:pt idx="34">
                  <c:v>0.92452362901455554</c:v>
                </c:pt>
                <c:pt idx="35">
                  <c:v>0.92357076900676693</c:v>
                </c:pt>
                <c:pt idx="36">
                  <c:v>0.92261549639050666</c:v>
                </c:pt>
                <c:pt idx="37">
                  <c:v>0.92165823770336242</c:v>
                </c:pt>
                <c:pt idx="38">
                  <c:v>0.92069937017718961</c:v>
                </c:pt>
                <c:pt idx="39">
                  <c:v>0.91973922830851462</c:v>
                </c:pt>
                <c:pt idx="40">
                  <c:v>0.91877810943143201</c:v>
                </c:pt>
                <c:pt idx="41">
                  <c:v>0.91781627846223979</c:v>
                </c:pt>
                <c:pt idx="42">
                  <c:v>0.91685397195345253</c:v>
                </c:pt>
                <c:pt idx="43">
                  <c:v>0.91589140156963167</c:v>
                </c:pt>
                <c:pt idx="44">
                  <c:v>0.91492875707731125</c:v>
                </c:pt>
                <c:pt idx="45">
                  <c:v>0.91396620892505698</c:v>
                </c:pt>
                <c:pt idx="46">
                  <c:v>0.91300391047658169</c:v>
                </c:pt>
                <c:pt idx="47">
                  <c:v>0.91204199994917978</c:v>
                </c:pt>
                <c:pt idx="48">
                  <c:v>0.91108060210105857</c:v>
                </c:pt>
                <c:pt idx="49">
                  <c:v>0.91011982970403049</c:v>
                </c:pt>
                <c:pt idx="50">
                  <c:v>0.90915978483218418</c:v>
                </c:pt>
              </c:numCache>
            </c:numRef>
          </c:yVal>
          <c:smooth val="1"/>
        </c:ser>
        <c:ser>
          <c:idx val="1"/>
          <c:order val="1"/>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'Fly-BB_Calc'!$CU$4:$CU$54</c:f>
              <c:numCache>
                <c:formatCode>General</c:formatCode>
                <c:ptCount val="51"/>
                <c:pt idx="0">
                  <c:v>0.88007509974184461</c:v>
                </c:pt>
                <c:pt idx="1">
                  <c:v>0.89733442563218746</c:v>
                </c:pt>
                <c:pt idx="2">
                  <c:v>0.90836161767457224</c:v>
                </c:pt>
                <c:pt idx="3">
                  <c:v>0.91569073363822018</c:v>
                </c:pt>
                <c:pt idx="4">
                  <c:v>0.9206936156676726</c:v>
                </c:pt>
                <c:pt idx="5">
                  <c:v>0.92416211349714272</c:v>
                </c:pt>
                <c:pt idx="6">
                  <c:v>0.92657821035086607</c:v>
                </c:pt>
                <c:pt idx="7">
                  <c:v>0.92824857538877581</c:v>
                </c:pt>
                <c:pt idx="8">
                  <c:v>0.92937577090900148</c:v>
                </c:pt>
                <c:pt idx="9">
                  <c:v>0.93009793554799569</c:v>
                </c:pt>
                <c:pt idx="10">
                  <c:v>0.93051190308294418</c:v>
                </c:pt>
                <c:pt idx="11">
                  <c:v>0.93068719835611569</c:v>
                </c:pt>
                <c:pt idx="12">
                  <c:v>0.93067479883648385</c:v>
                </c:pt>
                <c:pt idx="13">
                  <c:v>0.93051278321434383</c:v>
                </c:pt>
                <c:pt idx="14">
                  <c:v>0.93023006912301642</c:v>
                </c:pt>
                <c:pt idx="15">
                  <c:v>0.92984894444281385</c:v>
                </c:pt>
                <c:pt idx="16">
                  <c:v>0.92938681756742292</c:v>
                </c:pt>
                <c:pt idx="17">
                  <c:v>0.92885745048397472</c:v>
                </c:pt>
                <c:pt idx="18">
                  <c:v>0.9282718423321743</c:v>
                </c:pt>
                <c:pt idx="19">
                  <c:v>0.92763887234417486</c:v>
                </c:pt>
                <c:pt idx="20">
                  <c:v>0.92696577432085425</c:v>
                </c:pt>
                <c:pt idx="21">
                  <c:v>0.92625849132995342</c:v>
                </c:pt>
                <c:pt idx="22">
                  <c:v>0.92552194402729926</c:v>
                </c:pt>
                <c:pt idx="23">
                  <c:v>0.92476023587020872</c:v>
                </c:pt>
                <c:pt idx="24">
                  <c:v>0.9239768116643996</c:v>
                </c:pt>
                <c:pt idx="25">
                  <c:v>0.92317458121443996</c:v>
                </c:pt>
                <c:pt idx="26">
                  <c:v>0.92235601660664435</c:v>
                </c:pt>
                <c:pt idx="27">
                  <c:v>0.92152322937498365</c:v>
                </c:pt>
                <c:pt idx="28">
                  <c:v>0.92067803217940614</c:v>
                </c:pt>
                <c:pt idx="29">
                  <c:v>0.91982198845926266</c:v>
                </c:pt>
                <c:pt idx="30">
                  <c:v>0.91895645267589043</c:v>
                </c:pt>
                <c:pt idx="31">
                  <c:v>0.91808260313497048</c:v>
                </c:pt>
                <c:pt idx="32">
                  <c:v>0.91720146891692733</c:v>
                </c:pt>
                <c:pt idx="33">
                  <c:v>0.91631395209776267</c:v>
                </c:pt>
                <c:pt idx="34">
                  <c:v>0.91542084618176489</c:v>
                </c:pt>
                <c:pt idx="35">
                  <c:v>0.9145228514691397</c:v>
                </c:pt>
                <c:pt idx="36">
                  <c:v>0.91362058792962186</c:v>
                </c:pt>
                <c:pt idx="37">
                  <c:v>0.9127146060358845</c:v>
                </c:pt>
                <c:pt idx="38">
                  <c:v>0.91180539591950505</c:v>
                </c:pt>
                <c:pt idx="39">
                  <c:v>0.91089339514108325</c:v>
                </c:pt>
                <c:pt idx="40">
                  <c:v>0.90997899531014537</c:v>
                </c:pt>
                <c:pt idx="41">
                  <c:v>0.90906254774621542</c:v>
                </c:pt>
                <c:pt idx="42">
                  <c:v>0.90814436833723955</c:v>
                </c:pt>
                <c:pt idx="43">
                  <c:v>0.90722474172342027</c:v>
                </c:pt>
                <c:pt idx="44">
                  <c:v>0.90630392491191492</c:v>
                </c:pt>
                <c:pt idx="45">
                  <c:v>0.90538215040960057</c:v>
                </c:pt>
                <c:pt idx="46">
                  <c:v>0.9044596289463237</c:v>
                </c:pt>
                <c:pt idx="47">
                  <c:v>0.90353655184898507</c:v>
                </c:pt>
                <c:pt idx="48">
                  <c:v>0.90261309311696336</c:v>
                </c:pt>
                <c:pt idx="49">
                  <c:v>0.90168941124127289</c:v>
                </c:pt>
                <c:pt idx="50">
                  <c:v>0.90076565080318272</c:v>
                </c:pt>
              </c:numCache>
            </c:numRef>
          </c:yVal>
          <c:smooth val="1"/>
        </c:ser>
        <c:ser>
          <c:idx val="2"/>
          <c:order val="2"/>
          <c:tx>
            <c:v>Flyback CCM</c:v>
          </c:tx>
          <c:marker>
            <c:symbol val="none"/>
          </c:marker>
          <c:xVal>
            <c:numRef>
              <c:f>Flyback_CCM_Calc!$M$4:$M$54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Flyback_CCM_Calc!$CV$4:$CV$54</c:f>
              <c:numCache>
                <c:formatCode>##0.0E+0</c:formatCode>
                <c:ptCount val="51"/>
                <c:pt idx="0">
                  <c:v>0.91443412821613501</c:v>
                </c:pt>
                <c:pt idx="1">
                  <c:v>0.92340302485829928</c:v>
                </c:pt>
                <c:pt idx="2">
                  <c:v>0.92917974063237363</c:v>
                </c:pt>
                <c:pt idx="3">
                  <c:v>0.93310874910578145</c:v>
                </c:pt>
                <c:pt idx="4">
                  <c:v>0.9358948724359315</c:v>
                </c:pt>
                <c:pt idx="5">
                  <c:v>0.93793607748078622</c:v>
                </c:pt>
                <c:pt idx="6">
                  <c:v>0.93947080240951286</c:v>
                </c:pt>
                <c:pt idx="7">
                  <c:v>0.94064899079133268</c:v>
                </c:pt>
                <c:pt idx="8">
                  <c:v>0.94156880554122713</c:v>
                </c:pt>
                <c:pt idx="9">
                  <c:v>0.94229672871273074</c:v>
                </c:pt>
                <c:pt idx="10">
                  <c:v>0.94287911141110947</c:v>
                </c:pt>
                <c:pt idx="11">
                  <c:v>0.94334909038270465</c:v>
                </c:pt>
                <c:pt idx="12">
                  <c:v>0.9437308800845019</c:v>
                </c:pt>
                <c:pt idx="13">
                  <c:v>0.94404252002755917</c:v>
                </c:pt>
                <c:pt idx="14">
                  <c:v>0.94429768195701413</c:v>
                </c:pt>
                <c:pt idx="15">
                  <c:v>0.94450688766917612</c:v>
                </c:pt>
                <c:pt idx="16">
                  <c:v>0.94467834755199398</c:v>
                </c:pt>
                <c:pt idx="17">
                  <c:v>0.94481854925383812</c:v>
                </c:pt>
                <c:pt idx="18">
                  <c:v>0.94493267822376015</c:v>
                </c:pt>
                <c:pt idx="19">
                  <c:v>0.94502492294584506</c:v>
                </c:pt>
                <c:pt idx="20">
                  <c:v>0.94509869971176674</c:v>
                </c:pt>
                <c:pt idx="21">
                  <c:v>0.94515682035111459</c:v>
                </c:pt>
                <c:pt idx="22">
                  <c:v>0.94520161893242294</c:v>
                </c:pt>
                <c:pt idx="23">
                  <c:v>0.94523504855723006</c:v>
                </c:pt>
                <c:pt idx="24">
                  <c:v>0.94525875608535381</c:v>
                </c:pt>
                <c:pt idx="25">
                  <c:v>0.94527414038970781</c:v>
                </c:pt>
                <c:pt idx="26">
                  <c:v>0.94528239818923121</c:v>
                </c:pt>
                <c:pt idx="27">
                  <c:v>0.94528456042185904</c:v>
                </c:pt>
                <c:pt idx="28">
                  <c:v>0.94528152134805887</c:v>
                </c:pt>
                <c:pt idx="29">
                  <c:v>0.9452740620214668</c:v>
                </c:pt>
                <c:pt idx="30">
                  <c:v>0.94526286936101811</c:v>
                </c:pt>
                <c:pt idx="31">
                  <c:v>0.94524855176410549</c:v>
                </c:pt>
                <c:pt idx="32">
                  <c:v>0.94523165198204739</c:v>
                </c:pt>
                <c:pt idx="33">
                  <c:v>0.94521265781620456</c:v>
                </c:pt>
                <c:pt idx="34">
                  <c:v>0.94519201107042028</c:v>
                </c:pt>
                <c:pt idx="35">
                  <c:v>0.94517011510243321</c:v>
                </c:pt>
                <c:pt idx="36">
                  <c:v>0.94514734124588196</c:v>
                </c:pt>
                <c:pt idx="37">
                  <c:v>0.94512403431994374</c:v>
                </c:pt>
                <c:pt idx="38">
                  <c:v>0.94510051740149958</c:v>
                </c:pt>
                <c:pt idx="39">
                  <c:v>0.94507709600203404</c:v>
                </c:pt>
                <c:pt idx="40">
                  <c:v>0.94505406176605344</c:v>
                </c:pt>
                <c:pt idx="41">
                  <c:v>0.94503169578801838</c:v>
                </c:pt>
                <c:pt idx="42">
                  <c:v>0.94501027162941376</c:v>
                </c:pt>
                <c:pt idx="43">
                  <c:v>0.94499005810570502</c:v>
                </c:pt>
                <c:pt idx="44">
                  <c:v>0.94497132190387612</c:v>
                </c:pt>
                <c:pt idx="45">
                  <c:v>0.9449543300844967</c:v>
                </c:pt>
                <c:pt idx="46">
                  <c:v>0.9449393525174582</c:v>
                </c:pt>
                <c:pt idx="47">
                  <c:v>0.94492666429738015</c:v>
                </c:pt>
                <c:pt idx="48">
                  <c:v>0.94491654818304449</c:v>
                </c:pt>
                <c:pt idx="49">
                  <c:v>0.94490929710496285</c:v>
                </c:pt>
                <c:pt idx="50">
                  <c:v>0.94490521678628203</c:v>
                </c:pt>
              </c:numCache>
            </c:numRef>
          </c:yVal>
          <c:smooth val="1"/>
        </c:ser>
        <c:ser>
          <c:idx val="3"/>
          <c:order val="3"/>
          <c:tx>
            <c:v>Flyback DCM</c:v>
          </c:tx>
          <c:marker>
            <c:symbol val="none"/>
          </c:marker>
          <c:xVal>
            <c:numRef>
              <c:f>Flyback_DCM_Calc!$L$4:$L$54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Flyback_DCM_Calc!$CY$4:$CY$54</c:f>
              <c:numCache>
                <c:formatCode>##0.0E+0</c:formatCode>
                <c:ptCount val="51"/>
                <c:pt idx="0">
                  <c:v>0.94635030787647068</c:v>
                </c:pt>
                <c:pt idx="1">
                  <c:v>0.95032733778604794</c:v>
                </c:pt>
                <c:pt idx="2">
                  <c:v>0.95285642625820055</c:v>
                </c:pt>
                <c:pt idx="3">
                  <c:v>0.95456531506460185</c:v>
                </c:pt>
                <c:pt idx="4">
                  <c:v>0.95577558279429131</c:v>
                </c:pt>
                <c:pt idx="5">
                  <c:v>0.95666559854798228</c:v>
                </c:pt>
                <c:pt idx="6">
                  <c:v>0.95734068331230793</c:v>
                </c:pt>
                <c:pt idx="7">
                  <c:v>0.95786624712726021</c:v>
                </c:pt>
                <c:pt idx="8">
                  <c:v>0.95828464084939002</c:v>
                </c:pt>
                <c:pt idx="9">
                  <c:v>0.95862426048216276</c:v>
                </c:pt>
                <c:pt idx="10">
                  <c:v>0.95890472035358543</c:v>
                </c:pt>
                <c:pt idx="11">
                  <c:v>0.95913992087508326</c:v>
                </c:pt>
                <c:pt idx="12">
                  <c:v>0.95933993569789144</c:v>
                </c:pt>
                <c:pt idx="13">
                  <c:v>0.95951221014287458</c:v>
                </c:pt>
                <c:pt idx="14">
                  <c:v>0.95966234377357462</c:v>
                </c:pt>
                <c:pt idx="15">
                  <c:v>0.95979461416000522</c:v>
                </c:pt>
                <c:pt idx="16">
                  <c:v>0.95991233519722285</c:v>
                </c:pt>
                <c:pt idx="17">
                  <c:v>0.96001810710321056</c:v>
                </c:pt>
                <c:pt idx="18">
                  <c:v>0.96011399395820762</c:v>
                </c:pt>
                <c:pt idx="19">
                  <c:v>0.96020165182626516</c:v>
                </c:pt>
                <c:pt idx="20">
                  <c:v>0.96028242257536067</c:v>
                </c:pt>
                <c:pt idx="21">
                  <c:v>0.96035740350384957</c:v>
                </c:pt>
                <c:pt idx="22">
                  <c:v>0.96042749965038621</c:v>
                </c:pt>
                <c:pt idx="23">
                  <c:v>0.9604934635414587</c:v>
                </c:pt>
                <c:pt idx="24">
                  <c:v>0.96055592571157322</c:v>
                </c:pt>
                <c:pt idx="25">
                  <c:v>0.96061541836747333</c:v>
                </c:pt>
                <c:pt idx="26">
                  <c:v>0.9606723939038353</c:v>
                </c:pt>
                <c:pt idx="27">
                  <c:v>0.96072723951422656</c:v>
                </c:pt>
                <c:pt idx="28">
                  <c:v>0.96078028881324129</c:v>
                </c:pt>
                <c:pt idx="29">
                  <c:v>0.96083183115115689</c:v>
                </c:pt>
                <c:pt idx="30">
                  <c:v>0.96088211913279076</c:v>
                </c:pt>
                <c:pt idx="31">
                  <c:v>0.96093137472826551</c:v>
                </c:pt>
                <c:pt idx="32">
                  <c:v>0.96097979427192737</c:v>
                </c:pt>
                <c:pt idx="33">
                  <c:v>0.96102755257758155</c:v>
                </c:pt>
                <c:pt idx="34">
                  <c:v>0.96107480634709463</c:v>
                </c:pt>
                <c:pt idx="35">
                  <c:v>0.9611216970107378</c:v>
                </c:pt>
                <c:pt idx="36">
                  <c:v>0.96116835310815207</c:v>
                </c:pt>
                <c:pt idx="37">
                  <c:v>0.96121489229617529</c:v>
                </c:pt>
                <c:pt idx="38">
                  <c:v>0.96126142305226636</c:v>
                </c:pt>
                <c:pt idx="39">
                  <c:v>0.96130804612864584</c:v>
                </c:pt>
                <c:pt idx="40">
                  <c:v>0.96135485580161983</c:v>
                </c:pt>
                <c:pt idx="41">
                  <c:v>0.96140194095217368</c:v>
                </c:pt>
                <c:pt idx="42">
                  <c:v>0.96144938600729457</c:v>
                </c:pt>
                <c:pt idx="43">
                  <c:v>0.9614972717662158</c:v>
                </c:pt>
                <c:pt idx="44">
                  <c:v>0.96154567613157871</c:v>
                </c:pt>
                <c:pt idx="45">
                  <c:v>0.961594674762145</c:v>
                </c:pt>
                <c:pt idx="46">
                  <c:v>0.96164434166099511</c:v>
                </c:pt>
                <c:pt idx="47">
                  <c:v>0.9616947497109759</c:v>
                </c:pt>
                <c:pt idx="48">
                  <c:v>0.96174597116741412</c:v>
                </c:pt>
                <c:pt idx="49">
                  <c:v>0.96179807811670848</c:v>
                </c:pt>
                <c:pt idx="50">
                  <c:v>0.96185114290828211</c:v>
                </c:pt>
              </c:numCache>
            </c:numRef>
          </c:yVal>
          <c:smooth val="1"/>
        </c:ser>
        <c:dLbls>
          <c:showLegendKey val="0"/>
          <c:showVal val="0"/>
          <c:showCatName val="0"/>
          <c:showSerName val="0"/>
          <c:showPercent val="0"/>
          <c:showBubbleSize val="0"/>
        </c:dLbls>
        <c:axId val="116361472"/>
        <c:axId val="116375936"/>
      </c:scatterChart>
      <c:valAx>
        <c:axId val="116361472"/>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16375936"/>
        <c:crosses val="autoZero"/>
        <c:crossBetween val="midCat"/>
      </c:valAx>
      <c:valAx>
        <c:axId val="116375936"/>
        <c:scaling>
          <c:orientation val="minMax"/>
          <c:min val="0.82000000000000006"/>
        </c:scaling>
        <c:delete val="0"/>
        <c:axPos val="l"/>
        <c:majorGridlines/>
        <c:title>
          <c:tx>
            <c:rich>
              <a:bodyPr rot="-5400000" vert="horz"/>
              <a:lstStyle/>
              <a:p>
                <a:pPr>
                  <a:defRPr/>
                </a:pPr>
                <a:r>
                  <a:rPr lang="en-US"/>
                  <a:t>Efficiency</a:t>
                </a:r>
              </a:p>
            </c:rich>
          </c:tx>
          <c:overlay val="0"/>
        </c:title>
        <c:numFmt formatCode="0.00%" sourceLinked="0"/>
        <c:majorTickMark val="out"/>
        <c:minorTickMark val="none"/>
        <c:tickLblPos val="nextTo"/>
        <c:crossAx val="1163614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Modulator Model {VIN Min, Full Load}</a:t>
            </a:r>
            <a:endParaRPr lang="en-US">
              <a:effectLst/>
            </a:endParaRPr>
          </a:p>
        </c:rich>
      </c:tx>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48.847188493786192</c:v>
                </c:pt>
                <c:pt idx="1">
                  <c:v>48.845233382948351</c:v>
                </c:pt>
                <c:pt idx="2">
                  <c:v>48.841976819512922</c:v>
                </c:pt>
                <c:pt idx="3">
                  <c:v>48.837421729271632</c:v>
                </c:pt>
                <c:pt idx="4">
                  <c:v>48.831572196073225</c:v>
                </c:pt>
                <c:pt idx="5">
                  <c:v>48.824433449656127</c:v>
                </c:pt>
                <c:pt idx="6">
                  <c:v>48.816011850135482</c:v>
                </c:pt>
                <c:pt idx="7">
                  <c:v>48.806314869240701</c:v>
                </c:pt>
                <c:pt idx="8">
                  <c:v>48.795351068419038</c:v>
                </c:pt>
                <c:pt idx="9">
                  <c:v>48.783130073938551</c:v>
                </c:pt>
                <c:pt idx="10">
                  <c:v>48.594590635002717</c:v>
                </c:pt>
                <c:pt idx="11">
                  <c:v>48.297480230844968</c:v>
                </c:pt>
                <c:pt idx="12">
                  <c:v>47.912970186405694</c:v>
                </c:pt>
                <c:pt idx="13">
                  <c:v>47.463892874259422</c:v>
                </c:pt>
                <c:pt idx="14">
                  <c:v>46.971449784606293</c:v>
                </c:pt>
                <c:pt idx="15">
                  <c:v>46.453416097035145</c:v>
                </c:pt>
                <c:pt idx="16">
                  <c:v>45.923627163095759</c:v>
                </c:pt>
                <c:pt idx="17">
                  <c:v>45.392252712174411</c:v>
                </c:pt>
                <c:pt idx="18">
                  <c:v>44.866416686459388</c:v>
                </c:pt>
                <c:pt idx="19">
                  <c:v>40.393976847601138</c:v>
                </c:pt>
                <c:pt idx="20">
                  <c:v>37.231042257225319</c:v>
                </c:pt>
                <c:pt idx="21">
                  <c:v>34.86524469274292</c:v>
                </c:pt>
                <c:pt idx="22">
                  <c:v>32.990016213388735</c:v>
                </c:pt>
                <c:pt idx="23">
                  <c:v>31.441002181380043</c:v>
                </c:pt>
                <c:pt idx="24">
                  <c:v>30.123087950795451</c:v>
                </c:pt>
                <c:pt idx="25">
                  <c:v>28.976966286760799</c:v>
                </c:pt>
                <c:pt idx="26">
                  <c:v>27.963364754034568</c:v>
                </c:pt>
                <c:pt idx="27">
                  <c:v>27.055006017088907</c:v>
                </c:pt>
                <c:pt idx="28">
                  <c:v>21.056883150823079</c:v>
                </c:pt>
                <c:pt idx="29">
                  <c:v>17.540519408871585</c:v>
                </c:pt>
                <c:pt idx="30">
                  <c:v>15.045176799837122</c:v>
                </c:pt>
                <c:pt idx="31">
                  <c:v>13.110231484966231</c:v>
                </c:pt>
                <c:pt idx="32">
                  <c:v>11.53014090978418</c:v>
                </c:pt>
                <c:pt idx="33">
                  <c:v>10.195174452182417</c:v>
                </c:pt>
                <c:pt idx="34">
                  <c:v>9.0398038762785777</c:v>
                </c:pt>
                <c:pt idx="35">
                  <c:v>8.021750412153656</c:v>
                </c:pt>
                <c:pt idx="36">
                  <c:v>7.1121407589304741</c:v>
                </c:pt>
                <c:pt idx="37">
                  <c:v>1.1772609252141322</c:v>
                </c:pt>
                <c:pt idx="38">
                  <c:v>-2.2056565666690382</c:v>
                </c:pt>
                <c:pt idx="39">
                  <c:v>-4.5171732108674849</c:v>
                </c:pt>
                <c:pt idx="40">
                  <c:v>-6.2259103740366033</c:v>
                </c:pt>
                <c:pt idx="41">
                  <c:v>-7.544611575039962</c:v>
                </c:pt>
                <c:pt idx="42">
                  <c:v>-8.5899659650114195</c:v>
                </c:pt>
                <c:pt idx="43">
                  <c:v>-9.4340180983260424</c:v>
                </c:pt>
                <c:pt idx="44">
                  <c:v>-10.124911310273216</c:v>
                </c:pt>
                <c:pt idx="45">
                  <c:v>-10.69661348158952</c:v>
                </c:pt>
                <c:pt idx="46">
                  <c:v>-13.291879270336773</c:v>
                </c:pt>
                <c:pt idx="47">
                  <c:v>-14.004999481601864</c:v>
                </c:pt>
                <c:pt idx="48">
                  <c:v>-14.285093663190633</c:v>
                </c:pt>
                <c:pt idx="49">
                  <c:v>-14.421117332216589</c:v>
                </c:pt>
                <c:pt idx="50">
                  <c:v>-14.496832228583008</c:v>
                </c:pt>
                <c:pt idx="51">
                  <c:v>-14.543132135430559</c:v>
                </c:pt>
                <c:pt idx="52">
                  <c:v>-14.573448879795315</c:v>
                </c:pt>
                <c:pt idx="53">
                  <c:v>-14.59435690371806</c:v>
                </c:pt>
                <c:pt idx="54">
                  <c:v>-14.609374281863429</c:v>
                </c:pt>
                <c:pt idx="55">
                  <c:v>-14.657741824008465</c:v>
                </c:pt>
              </c:numCache>
            </c:numRef>
          </c:yVal>
          <c:smooth val="1"/>
        </c:ser>
        <c:dLbls>
          <c:showLegendKey val="0"/>
          <c:showVal val="0"/>
          <c:showCatName val="0"/>
          <c:showSerName val="0"/>
          <c:showPercent val="0"/>
          <c:showBubbleSize val="0"/>
        </c:dLbls>
        <c:axId val="130812928"/>
        <c:axId val="130819200"/>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-0.70149687585977949</c:v>
                </c:pt>
                <c:pt idx="1">
                  <c:v>-1.4027830827715482</c:v>
                </c:pt>
                <c:pt idx="2">
                  <c:v>-2.1036483308880243</c:v>
                </c:pt>
                <c:pt idx="3">
                  <c:v>-2.803883086859555</c:v>
                </c:pt>
                <c:pt idx="4">
                  <c:v>-3.5032789478375075</c:v>
                </c:pt>
                <c:pt idx="5">
                  <c:v>-4.2016290104229679</c:v>
                </c:pt>
                <c:pt idx="6">
                  <c:v>-4.8987282329416191</c:v>
                </c:pt>
                <c:pt idx="7">
                  <c:v>-5.5943737894808212</c:v>
                </c:pt>
                <c:pt idx="8">
                  <c:v>-6.288365414192425</c:v>
                </c:pt>
                <c:pt idx="9">
                  <c:v>-6.980505734444522</c:v>
                </c:pt>
                <c:pt idx="10">
                  <c:v>-13.759331188972373</c:v>
                </c:pt>
                <c:pt idx="11">
                  <c:v>-20.167688761074245</c:v>
                </c:pt>
                <c:pt idx="12">
                  <c:v>-26.090220665241134</c:v>
                </c:pt>
                <c:pt idx="13">
                  <c:v>-31.468675922955722</c:v>
                </c:pt>
                <c:pt idx="14">
                  <c:v>-36.292741793796218</c:v>
                </c:pt>
                <c:pt idx="15">
                  <c:v>-40.585439318401988</c:v>
                </c:pt>
                <c:pt idx="16">
                  <c:v>-44.389004395259754</c:v>
                </c:pt>
                <c:pt idx="17">
                  <c:v>-47.75407108760168</c:v>
                </c:pt>
                <c:pt idx="18">
                  <c:v>-50.73259213613585</c:v>
                </c:pt>
                <c:pt idx="19">
                  <c:v>-67.706539726487506</c:v>
                </c:pt>
                <c:pt idx="20">
                  <c:v>-74.640086997146838</c:v>
                </c:pt>
                <c:pt idx="21">
                  <c:v>-78.280206066225816</c:v>
                </c:pt>
                <c:pt idx="22">
                  <c:v>-80.495044034183223</c:v>
                </c:pt>
                <c:pt idx="23">
                  <c:v>-81.972811594305526</c:v>
                </c:pt>
                <c:pt idx="24">
                  <c:v>-83.021914983354904</c:v>
                </c:pt>
                <c:pt idx="25">
                  <c:v>-83.80030763834813</c:v>
                </c:pt>
                <c:pt idx="26">
                  <c:v>-84.397023525196929</c:v>
                </c:pt>
                <c:pt idx="27">
                  <c:v>-84.86599061793649</c:v>
                </c:pt>
                <c:pt idx="28">
                  <c:v>-86.727198774835969</c:v>
                </c:pt>
                <c:pt idx="29">
                  <c:v>-87.037877892496084</c:v>
                </c:pt>
                <c:pt idx="30">
                  <c:v>-86.959737317914005</c:v>
                </c:pt>
                <c:pt idx="31">
                  <c:v>-86.726110303819425</c:v>
                </c:pt>
                <c:pt idx="32">
                  <c:v>-86.41489926080672</c:v>
                </c:pt>
                <c:pt idx="33">
                  <c:v>-86.059541499427084</c:v>
                </c:pt>
                <c:pt idx="34">
                  <c:v>-85.676790320312321</c:v>
                </c:pt>
                <c:pt idx="35">
                  <c:v>-85.275981419275027</c:v>
                </c:pt>
                <c:pt idx="36">
                  <c:v>-84.862740774033441</c:v>
                </c:pt>
                <c:pt idx="37">
                  <c:v>-80.488139529286514</c:v>
                </c:pt>
                <c:pt idx="38">
                  <c:v>-76.07543045163068</c:v>
                </c:pt>
                <c:pt idx="39">
                  <c:v>-71.789548875958673</c:v>
                </c:pt>
                <c:pt idx="40">
                  <c:v>-67.691022431470884</c:v>
                </c:pt>
                <c:pt idx="41">
                  <c:v>-63.813120011465656</c:v>
                </c:pt>
                <c:pt idx="42">
                  <c:v>-60.173574591694013</c:v>
                </c:pt>
                <c:pt idx="43">
                  <c:v>-56.778885967810922</c:v>
                </c:pt>
                <c:pt idx="44">
                  <c:v>-53.627218641340754</c:v>
                </c:pt>
                <c:pt idx="45">
                  <c:v>-50.710802445672144</c:v>
                </c:pt>
                <c:pt idx="46">
                  <c:v>-31.448852231885475</c:v>
                </c:pt>
                <c:pt idx="47">
                  <c:v>-22.184272482755024</c:v>
                </c:pt>
                <c:pt idx="48">
                  <c:v>-17.005940264385821</c:v>
                </c:pt>
                <c:pt idx="49">
                  <c:v>-13.749043149214701</c:v>
                </c:pt>
                <c:pt idx="50">
                  <c:v>-11.524800662732464</c:v>
                </c:pt>
                <c:pt idx="51">
                  <c:v>-9.913757719956541</c:v>
                </c:pt>
                <c:pt idx="52">
                  <c:v>-8.6948317469287399</c:v>
                </c:pt>
                <c:pt idx="53">
                  <c:v>-7.7411946956882991</c:v>
                </c:pt>
                <c:pt idx="54">
                  <c:v>-6.9751334932526747</c:v>
                </c:pt>
                <c:pt idx="55">
                  <c:v>-3.5005627008908156</c:v>
                </c:pt>
              </c:numCache>
            </c:numRef>
          </c:yVal>
          <c:smooth val="1"/>
        </c:ser>
        <c:dLbls>
          <c:showLegendKey val="0"/>
          <c:showVal val="0"/>
          <c:showCatName val="0"/>
          <c:showSerName val="0"/>
          <c:showPercent val="0"/>
          <c:showBubbleSize val="0"/>
        </c:dLbls>
        <c:axId val="130835584"/>
        <c:axId val="130821120"/>
      </c:scatterChart>
      <c:valAx>
        <c:axId val="130812928"/>
        <c:scaling>
          <c:logBase val="10"/>
          <c:orientation val="minMax"/>
          <c:max val="10000000"/>
          <c:min val="1"/>
        </c:scaling>
        <c:delete val="0"/>
        <c:axPos val="b"/>
        <c:majorGridlines/>
        <c:minorGridlines/>
        <c:title>
          <c:tx>
            <c:rich>
              <a:bodyPr/>
              <a:lstStyle/>
              <a:p>
                <a:pPr>
                  <a:defRPr/>
                </a:pPr>
                <a:r>
                  <a:rPr lang="en-US"/>
                  <a:t>Frequency (Hz)</a:t>
                </a:r>
              </a:p>
            </c:rich>
          </c:tx>
          <c:overlay val="0"/>
        </c:title>
        <c:numFmt formatCode="General" sourceLinked="0"/>
        <c:majorTickMark val="out"/>
        <c:minorTickMark val="none"/>
        <c:tickLblPos val="low"/>
        <c:crossAx val="130819200"/>
        <c:crosses val="autoZero"/>
        <c:crossBetween val="midCat"/>
      </c:valAx>
      <c:valAx>
        <c:axId val="130819200"/>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30812928"/>
        <c:crosses val="autoZero"/>
        <c:crossBetween val="midCat"/>
        <c:majorUnit val="20"/>
      </c:valAx>
      <c:valAx>
        <c:axId val="13082112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30835584"/>
        <c:crosses val="max"/>
        <c:crossBetween val="midCat"/>
        <c:majorUnit val="45"/>
      </c:valAx>
      <c:valAx>
        <c:axId val="130835584"/>
        <c:scaling>
          <c:logBase val="10"/>
          <c:orientation val="minMax"/>
        </c:scaling>
        <c:delete val="1"/>
        <c:axPos val="b"/>
        <c:majorGridlines/>
        <c:minorGridlines/>
        <c:numFmt formatCode="##0.000E+0" sourceLinked="1"/>
        <c:majorTickMark val="out"/>
        <c:minorTickMark val="none"/>
        <c:tickLblPos val="nextTo"/>
        <c:crossAx val="130821120"/>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FlyBB_DutyCycle</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'Fly-BB_Calc'!$Q$4:$Q$54</c:f>
              <c:numCache>
                <c:formatCode>General</c:formatCode>
                <c:ptCount val="51"/>
                <c:pt idx="0">
                  <c:v>0.7142857142857143</c:v>
                </c:pt>
                <c:pt idx="1">
                  <c:v>0.67934782608695654</c:v>
                </c:pt>
                <c:pt idx="2">
                  <c:v>0.64766839378238339</c:v>
                </c:pt>
                <c:pt idx="3">
                  <c:v>0.61881188118811881</c:v>
                </c:pt>
                <c:pt idx="4">
                  <c:v>0.59241706161137442</c:v>
                </c:pt>
                <c:pt idx="5">
                  <c:v>0.56818181818181823</c:v>
                </c:pt>
                <c:pt idx="6">
                  <c:v>0.54585152838427942</c:v>
                </c:pt>
                <c:pt idx="7">
                  <c:v>0.52521008403361336</c:v>
                </c:pt>
                <c:pt idx="8">
                  <c:v>0.50607287449392713</c:v>
                </c:pt>
                <c:pt idx="9">
                  <c:v>0.48828125</c:v>
                </c:pt>
                <c:pt idx="10">
                  <c:v>0.47169811320754718</c:v>
                </c:pt>
                <c:pt idx="11">
                  <c:v>0.45620437956204374</c:v>
                </c:pt>
                <c:pt idx="12">
                  <c:v>0.44169611307420492</c:v>
                </c:pt>
                <c:pt idx="13">
                  <c:v>0.42808219178082191</c:v>
                </c:pt>
                <c:pt idx="14">
                  <c:v>0.41528239202657802</c:v>
                </c:pt>
                <c:pt idx="15">
                  <c:v>0.40322580645161288</c:v>
                </c:pt>
                <c:pt idx="16">
                  <c:v>0.39184952978056425</c:v>
                </c:pt>
                <c:pt idx="17">
                  <c:v>0.38109756097560976</c:v>
                </c:pt>
                <c:pt idx="18">
                  <c:v>0.37091988130563802</c:v>
                </c:pt>
                <c:pt idx="19">
                  <c:v>0.36127167630057799</c:v>
                </c:pt>
                <c:pt idx="20">
                  <c:v>0.352112676056338</c:v>
                </c:pt>
                <c:pt idx="21">
                  <c:v>0.34340659340659341</c:v>
                </c:pt>
                <c:pt idx="22">
                  <c:v>0.33512064343163533</c:v>
                </c:pt>
                <c:pt idx="23">
                  <c:v>0.32722513089005234</c:v>
                </c:pt>
                <c:pt idx="24">
                  <c:v>0.31969309462915602</c:v>
                </c:pt>
                <c:pt idx="25">
                  <c:v>0.3125</c:v>
                </c:pt>
                <c:pt idx="26">
                  <c:v>0.30562347188264061</c:v>
                </c:pt>
                <c:pt idx="27">
                  <c:v>0.29904306220095689</c:v>
                </c:pt>
                <c:pt idx="28">
                  <c:v>0.29274004683840749</c:v>
                </c:pt>
                <c:pt idx="29">
                  <c:v>0.28669724770642202</c:v>
                </c:pt>
                <c:pt idx="30">
                  <c:v>0.28089887640449435</c:v>
                </c:pt>
                <c:pt idx="31">
                  <c:v>0.2753303964757709</c:v>
                </c:pt>
                <c:pt idx="32">
                  <c:v>0.26997840172786175</c:v>
                </c:pt>
                <c:pt idx="33">
                  <c:v>0.26483050847457629</c:v>
                </c:pt>
                <c:pt idx="34">
                  <c:v>0.25987525987525989</c:v>
                </c:pt>
                <c:pt idx="35">
                  <c:v>0.25510204081632654</c:v>
                </c:pt>
                <c:pt idx="36">
                  <c:v>0.25050100200400799</c:v>
                </c:pt>
                <c:pt idx="37">
                  <c:v>0.24606299212598426</c:v>
                </c:pt>
                <c:pt idx="38">
                  <c:v>0.24177949709864602</c:v>
                </c:pt>
                <c:pt idx="39">
                  <c:v>0.23764258555133078</c:v>
                </c:pt>
                <c:pt idx="40">
                  <c:v>0.23364485981308411</c:v>
                </c:pt>
                <c:pt idx="41">
                  <c:v>0.22977941176470587</c:v>
                </c:pt>
                <c:pt idx="42">
                  <c:v>0.22603978300180833</c:v>
                </c:pt>
                <c:pt idx="43">
                  <c:v>0.22241992882562278</c:v>
                </c:pt>
                <c:pt idx="44">
                  <c:v>0.2189141856392294</c:v>
                </c:pt>
                <c:pt idx="45">
                  <c:v>0.21551724137931036</c:v>
                </c:pt>
                <c:pt idx="46">
                  <c:v>0.21222410865874361</c:v>
                </c:pt>
                <c:pt idx="47">
                  <c:v>0.20903010033444813</c:v>
                </c:pt>
                <c:pt idx="48">
                  <c:v>0.20593080724876442</c:v>
                </c:pt>
                <c:pt idx="49">
                  <c:v>0.20292207792207792</c:v>
                </c:pt>
                <c:pt idx="50">
                  <c:v>0.2</c:v>
                </c:pt>
              </c:numCache>
            </c:numRef>
          </c:yVal>
          <c:smooth val="1"/>
        </c:ser>
        <c:dLbls>
          <c:showLegendKey val="0"/>
          <c:showVal val="0"/>
          <c:showCatName val="0"/>
          <c:showSerName val="0"/>
          <c:showPercent val="0"/>
          <c:showBubbleSize val="0"/>
        </c:dLbls>
        <c:axId val="131159552"/>
        <c:axId val="131161088"/>
      </c:scatterChart>
      <c:valAx>
        <c:axId val="131159552"/>
        <c:scaling>
          <c:orientation val="minMax"/>
        </c:scaling>
        <c:delete val="0"/>
        <c:axPos val="b"/>
        <c:numFmt formatCode="General" sourceLinked="1"/>
        <c:majorTickMark val="out"/>
        <c:minorTickMark val="none"/>
        <c:tickLblPos val="nextTo"/>
        <c:crossAx val="131161088"/>
        <c:crosses val="autoZero"/>
        <c:crossBetween val="midCat"/>
      </c:valAx>
      <c:valAx>
        <c:axId val="131161088"/>
        <c:scaling>
          <c:orientation val="minMax"/>
        </c:scaling>
        <c:delete val="0"/>
        <c:axPos val="l"/>
        <c:majorGridlines/>
        <c:numFmt formatCode="General" sourceLinked="1"/>
        <c:majorTickMark val="out"/>
        <c:minorTickMark val="none"/>
        <c:tickLblPos val="nextTo"/>
        <c:crossAx val="131159552"/>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Calculated Inductor</a:t>
            </a:r>
          </a:p>
        </c:rich>
      </c:tx>
      <c:overlay val="0"/>
    </c:title>
    <c:autoTitleDeleted val="0"/>
    <c:plotArea>
      <c:layout/>
      <c:scatterChart>
        <c:scatterStyle val="smoothMarker"/>
        <c:varyColors val="0"/>
        <c:ser>
          <c:idx val="0"/>
          <c:order val="0"/>
          <c:tx>
            <c:v>RR-10%</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'Fly-BB_Calc'!$N$4:$N$54</c:f>
              <c:numCache>
                <c:formatCode>##0.00E+0</c:formatCode>
                <c:ptCount val="51"/>
                <c:pt idx="0">
                  <c:v>2.2675736961451244E-5</c:v>
                </c:pt>
                <c:pt idx="1">
                  <c:v>2.8560504620877959E-5</c:v>
                </c:pt>
                <c:pt idx="2">
                  <c:v>3.4482655761079335E-5</c:v>
                </c:pt>
                <c:pt idx="3">
                  <c:v>4.0362328312039119E-5</c:v>
                </c:pt>
                <c:pt idx="4">
                  <c:v>4.6145514351529487E-5</c:v>
                </c:pt>
                <c:pt idx="5">
                  <c:v>5.1796372819100099E-5</c:v>
                </c:pt>
                <c:pt idx="6">
                  <c:v>5.7291898408581908E-5</c:v>
                </c:pt>
                <c:pt idx="7">
                  <c:v>6.2618184528713425E-5</c:v>
                </c:pt>
                <c:pt idx="8">
                  <c:v>6.7767779252969975E-5</c:v>
                </c:pt>
                <c:pt idx="9">
                  <c:v>7.2737799750434028E-5</c:v>
                </c:pt>
                <c:pt idx="10">
                  <c:v>7.752857877457378E-5</c:v>
                </c:pt>
                <c:pt idx="11">
                  <c:v>8.2142688002083812E-5</c:v>
                </c:pt>
                <c:pt idx="12">
                  <c:v>8.6584230599014137E-5</c:v>
                </c:pt>
                <c:pt idx="13">
                  <c:v>9.0858327599507922E-5</c:v>
                </c:pt>
                <c:pt idx="14">
                  <c:v>9.4970744742822283E-5</c:v>
                </c:pt>
                <c:pt idx="15">
                  <c:v>9.8927621690368846E-5</c:v>
                </c:pt>
                <c:pt idx="16">
                  <c:v>1.0273527623003354E-4</c:v>
                </c:pt>
                <c:pt idx="17">
                  <c:v>1.0640006361953862E-4</c:v>
                </c:pt>
                <c:pt idx="18">
                  <c:v>1.0992827659347575E-4</c:v>
                </c:pt>
                <c:pt idx="19">
                  <c:v>1.1332607541552043E-4</c:v>
                </c:pt>
                <c:pt idx="20">
                  <c:v>1.1659944014635544E-4</c:v>
                </c:pt>
                <c:pt idx="21">
                  <c:v>1.1975413932831513E-4</c:v>
                </c:pt>
                <c:pt idx="22">
                  <c:v>1.2279571077521178E-4</c:v>
                </c:pt>
                <c:pt idx="23">
                  <c:v>1.2572945125164089E-4</c:v>
                </c:pt>
                <c:pt idx="24">
                  <c:v>1.2856041263757065E-4</c:v>
                </c:pt>
                <c:pt idx="25">
                  <c:v>1.3129340277777776E-4</c:v>
                </c:pt>
                <c:pt idx="26">
                  <c:v>1.33932989666755E-4</c:v>
                </c:pt>
                <c:pt idx="27">
                  <c:v>1.3648350795794761E-4</c:v>
                </c:pt>
                <c:pt idx="28">
                  <c:v>1.3894906704059389E-4</c:v>
                </c:pt>
                <c:pt idx="29">
                  <c:v>1.413335601193315E-4</c:v>
                </c:pt>
                <c:pt idx="30">
                  <c:v>1.4364067387675515E-4</c:v>
                </c:pt>
                <c:pt idx="31">
                  <c:v>1.4587389840887868E-4</c:v>
                </c:pt>
                <c:pt idx="32">
                  <c:v>1.4803653720661306E-4</c:v>
                </c:pt>
                <c:pt idx="33">
                  <c:v>1.5013171701937502E-4</c:v>
                </c:pt>
                <c:pt idx="34">
                  <c:v>1.5216239748464281E-4</c:v>
                </c:pt>
                <c:pt idx="35">
                  <c:v>1.5413138044333382E-4</c:v>
                </c:pt>
                <c:pt idx="36">
                  <c:v>1.5604131888805438E-4</c:v>
                </c:pt>
                <c:pt idx="37">
                  <c:v>1.5789472551167326E-4</c:v>
                </c:pt>
                <c:pt idx="38">
                  <c:v>1.5969398083888394E-4</c:v>
                </c:pt>
                <c:pt idx="39">
                  <c:v>1.614413409346833E-4</c:v>
                </c:pt>
                <c:pt idx="40">
                  <c:v>1.6313894469191872E-4</c:v>
                </c:pt>
                <c:pt idx="41">
                  <c:v>1.6478882070597846E-4</c:v>
                </c:pt>
                <c:pt idx="42">
                  <c:v>1.6639289374885773E-4</c:v>
                </c:pt>
                <c:pt idx="43">
                  <c:v>1.679529908576527E-4</c:v>
                </c:pt>
                <c:pt idx="44">
                  <c:v>1.6947084705434113E-4</c:v>
                </c:pt>
                <c:pt idx="45">
                  <c:v>1.7094811071475757E-4</c:v>
                </c:pt>
                <c:pt idx="46">
                  <c:v>1.7238634860514189E-4</c:v>
                </c:pt>
                <c:pt idx="47">
                  <c:v>1.7378705060470362E-4</c:v>
                </c:pt>
                <c:pt idx="48">
                  <c:v>1.751516341323886E-4</c:v>
                </c:pt>
                <c:pt idx="49">
                  <c:v>1.7648144829557165E-4</c:v>
                </c:pt>
                <c:pt idx="50">
                  <c:v>1.7777777777777773E-4</c:v>
                </c:pt>
              </c:numCache>
            </c:numRef>
          </c:yVal>
          <c:smooth val="1"/>
        </c:ser>
        <c:ser>
          <c:idx val="1"/>
          <c:order val="1"/>
          <c:tx>
            <c:v>RR</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'Fly-BB_Calc'!$O$4:$O$54</c:f>
              <c:numCache>
                <c:formatCode>##0.00E+0</c:formatCode>
                <c:ptCount val="51"/>
                <c:pt idx="0">
                  <c:v>2.0408163265306119E-5</c:v>
                </c:pt>
                <c:pt idx="1">
                  <c:v>2.5704454158790172E-5</c:v>
                </c:pt>
                <c:pt idx="2">
                  <c:v>3.1034390184971404E-5</c:v>
                </c:pt>
                <c:pt idx="3">
                  <c:v>3.6326095480835211E-5</c:v>
                </c:pt>
                <c:pt idx="4">
                  <c:v>4.1530962916376542E-5</c:v>
                </c:pt>
                <c:pt idx="5">
                  <c:v>4.6616735537190097E-5</c:v>
                </c:pt>
                <c:pt idx="6">
                  <c:v>5.1562708567723727E-5</c:v>
                </c:pt>
                <c:pt idx="7">
                  <c:v>5.6356366075842078E-5</c:v>
                </c:pt>
                <c:pt idx="8">
                  <c:v>6.0991001327672977E-5</c:v>
                </c:pt>
                <c:pt idx="9">
                  <c:v>6.546401977539063E-5</c:v>
                </c:pt>
                <c:pt idx="10">
                  <c:v>6.9775720897116418E-5</c:v>
                </c:pt>
                <c:pt idx="11">
                  <c:v>7.392841920187543E-5</c:v>
                </c:pt>
                <c:pt idx="12">
                  <c:v>7.7925807539112725E-5</c:v>
                </c:pt>
                <c:pt idx="13">
                  <c:v>8.1772494839557123E-5</c:v>
                </c:pt>
                <c:pt idx="14">
                  <c:v>8.5473670268540052E-5</c:v>
                </c:pt>
                <c:pt idx="15">
                  <c:v>8.9034859521331972E-5</c:v>
                </c:pt>
                <c:pt idx="16">
                  <c:v>9.2461748607030201E-5</c:v>
                </c:pt>
                <c:pt idx="17">
                  <c:v>9.576005725758476E-5</c:v>
                </c:pt>
                <c:pt idx="18">
                  <c:v>9.8935448934128168E-5</c:v>
                </c:pt>
                <c:pt idx="19">
                  <c:v>1.0199346787396838E-4</c:v>
                </c:pt>
                <c:pt idx="20">
                  <c:v>1.0493949613171991E-4</c:v>
                </c:pt>
                <c:pt idx="21">
                  <c:v>1.0777872539548363E-4</c:v>
                </c:pt>
                <c:pt idx="22">
                  <c:v>1.1051613969769059E-4</c:v>
                </c:pt>
                <c:pt idx="23">
                  <c:v>1.131565061264768E-4</c:v>
                </c:pt>
                <c:pt idx="24">
                  <c:v>1.1570437137381361E-4</c:v>
                </c:pt>
                <c:pt idx="25">
                  <c:v>1.181640625E-4</c:v>
                </c:pt>
                <c:pt idx="26">
                  <c:v>1.2053969070007949E-4</c:v>
                </c:pt>
                <c:pt idx="27">
                  <c:v>1.2283515716215285E-4</c:v>
                </c:pt>
                <c:pt idx="28">
                  <c:v>1.2505416033653451E-4</c:v>
                </c:pt>
                <c:pt idx="29">
                  <c:v>1.2720020410739838E-4</c:v>
                </c:pt>
                <c:pt idx="30">
                  <c:v>1.2927660648907966E-4</c:v>
                </c:pt>
                <c:pt idx="31">
                  <c:v>1.3128650856799082E-4</c:v>
                </c:pt>
                <c:pt idx="32">
                  <c:v>1.3323288348595177E-4</c:v>
                </c:pt>
                <c:pt idx="33">
                  <c:v>1.3511854531743754E-4</c:v>
                </c:pt>
                <c:pt idx="34">
                  <c:v>1.3694615773617852E-4</c:v>
                </c:pt>
                <c:pt idx="35">
                  <c:v>1.3871824239900044E-4</c:v>
                </c:pt>
                <c:pt idx="36">
                  <c:v>1.4043718699924894E-4</c:v>
                </c:pt>
                <c:pt idx="37">
                  <c:v>1.4210525296050593E-4</c:v>
                </c:pt>
                <c:pt idx="38">
                  <c:v>1.4372458275499554E-4</c:v>
                </c:pt>
                <c:pt idx="39">
                  <c:v>1.4529720684121502E-4</c:v>
                </c:pt>
                <c:pt idx="40">
                  <c:v>1.4682505022272689E-4</c:v>
                </c:pt>
                <c:pt idx="41">
                  <c:v>1.4830993863538061E-4</c:v>
                </c:pt>
                <c:pt idx="42">
                  <c:v>1.4975360437397196E-4</c:v>
                </c:pt>
                <c:pt idx="43">
                  <c:v>1.5115769177188743E-4</c:v>
                </c:pt>
                <c:pt idx="44">
                  <c:v>1.5252376234890704E-4</c:v>
                </c:pt>
                <c:pt idx="45">
                  <c:v>1.5385329964328186E-4</c:v>
                </c:pt>
                <c:pt idx="46">
                  <c:v>1.5514771374462773E-4</c:v>
                </c:pt>
                <c:pt idx="47">
                  <c:v>1.5640834554423323E-4</c:v>
                </c:pt>
                <c:pt idx="48">
                  <c:v>1.5763647071914978E-4</c:v>
                </c:pt>
                <c:pt idx="49">
                  <c:v>1.5883330346601454E-4</c:v>
                </c:pt>
                <c:pt idx="50">
                  <c:v>1.6000000000000001E-4</c:v>
                </c:pt>
              </c:numCache>
            </c:numRef>
          </c:yVal>
          <c:smooth val="1"/>
        </c:ser>
        <c:ser>
          <c:idx val="2"/>
          <c:order val="2"/>
          <c:tx>
            <c:v>RR+10%</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'Fly-BB_Calc'!$P$4:$P$54</c:f>
              <c:numCache>
                <c:formatCode>##0.00E+0</c:formatCode>
                <c:ptCount val="51"/>
                <c:pt idx="0">
                  <c:v>1.8552875695732837E-5</c:v>
                </c:pt>
                <c:pt idx="1">
                  <c:v>2.3367685598900153E-5</c:v>
                </c:pt>
                <c:pt idx="2">
                  <c:v>2.821308198633764E-5</c:v>
                </c:pt>
                <c:pt idx="3">
                  <c:v>3.3023723164395641E-5</c:v>
                </c:pt>
                <c:pt idx="4">
                  <c:v>3.7755420833069578E-5</c:v>
                </c:pt>
                <c:pt idx="5">
                  <c:v>4.2378850488354628E-5</c:v>
                </c:pt>
                <c:pt idx="6">
                  <c:v>4.6875189607021565E-5</c:v>
                </c:pt>
                <c:pt idx="7">
                  <c:v>5.1233060068947343E-5</c:v>
                </c:pt>
                <c:pt idx="8">
                  <c:v>5.5446364843339057E-5</c:v>
                </c:pt>
                <c:pt idx="9">
                  <c:v>5.9512745250355102E-5</c:v>
                </c:pt>
                <c:pt idx="10">
                  <c:v>6.3432473542833091E-5</c:v>
                </c:pt>
                <c:pt idx="11">
                  <c:v>6.7207653819886763E-5</c:v>
                </c:pt>
                <c:pt idx="12">
                  <c:v>7.0841643217375204E-5</c:v>
                </c:pt>
                <c:pt idx="13">
                  <c:v>7.4338631672324655E-5</c:v>
                </c:pt>
                <c:pt idx="14">
                  <c:v>7.7703336607763687E-5</c:v>
                </c:pt>
                <c:pt idx="15">
                  <c:v>8.0940781383029048E-5</c:v>
                </c:pt>
                <c:pt idx="16">
                  <c:v>8.4056135097300164E-5</c:v>
                </c:pt>
                <c:pt idx="17">
                  <c:v>8.7054597506895236E-5</c:v>
                </c:pt>
                <c:pt idx="18">
                  <c:v>8.99413172128438E-5</c:v>
                </c:pt>
                <c:pt idx="19">
                  <c:v>9.272133443088035E-5</c:v>
                </c:pt>
                <c:pt idx="20">
                  <c:v>9.5399541937927164E-5</c:v>
                </c:pt>
                <c:pt idx="21">
                  <c:v>9.7980659450439656E-5</c:v>
                </c:pt>
                <c:pt idx="22">
                  <c:v>1.0046921790699146E-4</c:v>
                </c:pt>
                <c:pt idx="23">
                  <c:v>1.0286955102406983E-4</c:v>
                </c:pt>
                <c:pt idx="24">
                  <c:v>1.0518579215801237E-4</c:v>
                </c:pt>
                <c:pt idx="25">
                  <c:v>1.0742187499999999E-4</c:v>
                </c:pt>
                <c:pt idx="26">
                  <c:v>1.0958153700007226E-4</c:v>
                </c:pt>
                <c:pt idx="27">
                  <c:v>1.116683246928662E-4</c:v>
                </c:pt>
                <c:pt idx="28">
                  <c:v>1.1368560030594045E-4</c:v>
                </c:pt>
                <c:pt idx="29">
                  <c:v>1.1563654918854397E-4</c:v>
                </c:pt>
                <c:pt idx="30">
                  <c:v>1.1752418771734512E-4</c:v>
                </c:pt>
                <c:pt idx="31">
                  <c:v>1.193513714254462E-4</c:v>
                </c:pt>
                <c:pt idx="32">
                  <c:v>1.2112080316904702E-4</c:v>
                </c:pt>
                <c:pt idx="33">
                  <c:v>1.2283504119767045E-4</c:v>
                </c:pt>
                <c:pt idx="34">
                  <c:v>1.2449650703288956E-4</c:v>
                </c:pt>
                <c:pt idx="35">
                  <c:v>1.2610749309000039E-4</c:v>
                </c:pt>
                <c:pt idx="36">
                  <c:v>1.2767016999931722E-4</c:v>
                </c:pt>
                <c:pt idx="37">
                  <c:v>1.291865936004599E-4</c:v>
                </c:pt>
                <c:pt idx="38">
                  <c:v>1.306587115954505E-4</c:v>
                </c:pt>
                <c:pt idx="39">
                  <c:v>1.3208836985565E-4</c:v>
                </c:pt>
                <c:pt idx="40">
                  <c:v>1.3347731838429715E-4</c:v>
                </c:pt>
                <c:pt idx="41">
                  <c:v>1.348272169412551E-4</c:v>
                </c:pt>
                <c:pt idx="42">
                  <c:v>1.361396403399745E-4</c:v>
                </c:pt>
                <c:pt idx="43">
                  <c:v>1.3741608342898856E-4</c:v>
                </c:pt>
                <c:pt idx="44">
                  <c:v>1.3865796577173365E-4</c:v>
                </c:pt>
                <c:pt idx="45">
                  <c:v>1.3986663603934713E-4</c:v>
                </c:pt>
                <c:pt idx="46">
                  <c:v>1.4104337613147976E-4</c:v>
                </c:pt>
                <c:pt idx="47">
                  <c:v>1.4218940504021201E-4</c:v>
                </c:pt>
                <c:pt idx="48">
                  <c:v>1.433058824719543E-4</c:v>
                </c:pt>
                <c:pt idx="49">
                  <c:v>1.4439391224183135E-4</c:v>
                </c:pt>
                <c:pt idx="50">
                  <c:v>1.4545454545454546E-4</c:v>
                </c:pt>
              </c:numCache>
            </c:numRef>
          </c:yVal>
          <c:smooth val="1"/>
        </c:ser>
        <c:dLbls>
          <c:showLegendKey val="0"/>
          <c:showVal val="0"/>
          <c:showCatName val="0"/>
          <c:showSerName val="0"/>
          <c:showPercent val="0"/>
          <c:showBubbleSize val="0"/>
        </c:dLbls>
        <c:axId val="131719552"/>
        <c:axId val="131721088"/>
      </c:scatterChart>
      <c:valAx>
        <c:axId val="131719552"/>
        <c:scaling>
          <c:orientation val="minMax"/>
        </c:scaling>
        <c:delete val="0"/>
        <c:axPos val="b"/>
        <c:numFmt formatCode="General" sourceLinked="1"/>
        <c:majorTickMark val="out"/>
        <c:minorTickMark val="none"/>
        <c:tickLblPos val="nextTo"/>
        <c:crossAx val="131721088"/>
        <c:crosses val="autoZero"/>
        <c:crossBetween val="midCat"/>
      </c:valAx>
      <c:valAx>
        <c:axId val="131721088"/>
        <c:scaling>
          <c:orientation val="minMax"/>
        </c:scaling>
        <c:delete val="0"/>
        <c:axPos val="l"/>
        <c:majorGridlines/>
        <c:numFmt formatCode="##0.00E+0" sourceLinked="1"/>
        <c:majorTickMark val="out"/>
        <c:minorTickMark val="none"/>
        <c:tickLblPos val="nextTo"/>
        <c:crossAx val="1317195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ILavg Full Load</a:t>
            </a:r>
          </a:p>
        </c:rich>
      </c:tx>
      <c:overlay val="0"/>
    </c:title>
    <c:autoTitleDeleted val="0"/>
    <c:plotArea>
      <c:layout/>
      <c:scatterChart>
        <c:scatterStyle val="smoothMarker"/>
        <c:varyColors val="0"/>
        <c:ser>
          <c:idx val="0"/>
          <c:order val="0"/>
          <c:tx>
            <c:v>Ilavg</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'Fly-BB_Calc'!$R$4:$R$54</c:f>
              <c:numCache>
                <c:formatCode>General</c:formatCode>
                <c:ptCount val="51"/>
                <c:pt idx="0">
                  <c:v>1.75</c:v>
                </c:pt>
                <c:pt idx="1">
                  <c:v>1.5593220338983051</c:v>
                </c:pt>
                <c:pt idx="2">
                  <c:v>1.4191176470588236</c:v>
                </c:pt>
                <c:pt idx="3">
                  <c:v>1.3116883116883118</c:v>
                </c:pt>
                <c:pt idx="4">
                  <c:v>1.2267441860465116</c:v>
                </c:pt>
                <c:pt idx="5">
                  <c:v>1.1578947368421051</c:v>
                </c:pt>
                <c:pt idx="6">
                  <c:v>1.1009615384615385</c:v>
                </c:pt>
                <c:pt idx="7">
                  <c:v>1.0530973451327434</c:v>
                </c:pt>
                <c:pt idx="8">
                  <c:v>1.012295081967213</c:v>
                </c:pt>
                <c:pt idx="9">
                  <c:v>0.97709923664122134</c:v>
                </c:pt>
                <c:pt idx="10">
                  <c:v>0.9464285714285714</c:v>
                </c:pt>
                <c:pt idx="11">
                  <c:v>0.91946308724832215</c:v>
                </c:pt>
                <c:pt idx="12">
                  <c:v>0.89556962025316456</c:v>
                </c:pt>
                <c:pt idx="13">
                  <c:v>0.87425149700598803</c:v>
                </c:pt>
                <c:pt idx="14">
                  <c:v>0.85511363636363646</c:v>
                </c:pt>
                <c:pt idx="15">
                  <c:v>0.83783783783783772</c:v>
                </c:pt>
                <c:pt idx="16">
                  <c:v>0.82216494845360821</c:v>
                </c:pt>
                <c:pt idx="17">
                  <c:v>0.80788177339901479</c:v>
                </c:pt>
                <c:pt idx="18">
                  <c:v>0.79481132075471683</c:v>
                </c:pt>
                <c:pt idx="19">
                  <c:v>0.78280542986425328</c:v>
                </c:pt>
                <c:pt idx="20">
                  <c:v>0.77173913043478259</c:v>
                </c:pt>
                <c:pt idx="21">
                  <c:v>0.7615062761506276</c:v>
                </c:pt>
                <c:pt idx="22">
                  <c:v>0.75201612903225823</c:v>
                </c:pt>
                <c:pt idx="23">
                  <c:v>0.74319066147859913</c:v>
                </c:pt>
                <c:pt idx="24">
                  <c:v>0.73496240601503759</c:v>
                </c:pt>
                <c:pt idx="25">
                  <c:v>0.72727272727272729</c:v>
                </c:pt>
                <c:pt idx="26">
                  <c:v>0.72007042253521125</c:v>
                </c:pt>
                <c:pt idx="27">
                  <c:v>0.71331058020477822</c:v>
                </c:pt>
                <c:pt idx="28">
                  <c:v>0.70695364238410596</c:v>
                </c:pt>
                <c:pt idx="29">
                  <c:v>0.70096463022508038</c:v>
                </c:pt>
                <c:pt idx="30">
                  <c:v>0.6953125</c:v>
                </c:pt>
                <c:pt idx="31">
                  <c:v>0.6899696048632219</c:v>
                </c:pt>
                <c:pt idx="32">
                  <c:v>0.68491124260355041</c:v>
                </c:pt>
                <c:pt idx="33">
                  <c:v>0.68011527377521608</c:v>
                </c:pt>
                <c:pt idx="34">
                  <c:v>0.675561797752809</c:v>
                </c:pt>
                <c:pt idx="35">
                  <c:v>0.67123287671232867</c:v>
                </c:pt>
                <c:pt idx="36">
                  <c:v>0.66711229946524075</c:v>
                </c:pt>
                <c:pt idx="37">
                  <c:v>0.66318537859007831</c:v>
                </c:pt>
                <c:pt idx="38">
                  <c:v>0.65943877551020402</c:v>
                </c:pt>
                <c:pt idx="39">
                  <c:v>0.65586034912718205</c:v>
                </c:pt>
                <c:pt idx="40">
                  <c:v>0.65243902439024393</c:v>
                </c:pt>
                <c:pt idx="41">
                  <c:v>0.64916467780429588</c:v>
                </c:pt>
                <c:pt idx="42">
                  <c:v>0.6460280373831776</c:v>
                </c:pt>
                <c:pt idx="43">
                  <c:v>0.64302059496567499</c:v>
                </c:pt>
                <c:pt idx="44">
                  <c:v>0.64013452914798208</c:v>
                </c:pt>
                <c:pt idx="45">
                  <c:v>0.63736263736263721</c:v>
                </c:pt>
                <c:pt idx="46">
                  <c:v>0.63469827586206895</c:v>
                </c:pt>
                <c:pt idx="47">
                  <c:v>0.63213530655391126</c:v>
                </c:pt>
                <c:pt idx="48">
                  <c:v>0.62966804979253099</c:v>
                </c:pt>
                <c:pt idx="49">
                  <c:v>0.62729124236252543</c:v>
                </c:pt>
                <c:pt idx="50">
                  <c:v>0.625</c:v>
                </c:pt>
              </c:numCache>
            </c:numRef>
          </c:yVal>
          <c:smooth val="1"/>
        </c:ser>
        <c:dLbls>
          <c:showLegendKey val="0"/>
          <c:showVal val="0"/>
          <c:showCatName val="0"/>
          <c:showSerName val="0"/>
          <c:showPercent val="0"/>
          <c:showBubbleSize val="0"/>
        </c:dLbls>
        <c:axId val="132011904"/>
        <c:axId val="132013440"/>
      </c:scatterChart>
      <c:valAx>
        <c:axId val="132011904"/>
        <c:scaling>
          <c:orientation val="minMax"/>
        </c:scaling>
        <c:delete val="0"/>
        <c:axPos val="b"/>
        <c:numFmt formatCode="General" sourceLinked="1"/>
        <c:majorTickMark val="out"/>
        <c:minorTickMark val="none"/>
        <c:tickLblPos val="nextTo"/>
        <c:crossAx val="132013440"/>
        <c:crosses val="autoZero"/>
        <c:crossBetween val="midCat"/>
      </c:valAx>
      <c:valAx>
        <c:axId val="132013440"/>
        <c:scaling>
          <c:orientation val="minMax"/>
        </c:scaling>
        <c:delete val="0"/>
        <c:axPos val="l"/>
        <c:majorGridlines/>
        <c:numFmt formatCode="General" sourceLinked="1"/>
        <c:majorTickMark val="out"/>
        <c:minorTickMark val="none"/>
        <c:tickLblPos val="nextTo"/>
        <c:crossAx val="13201190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Peak</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'Fly-BB_Calc'!$T$4:$T$54</c:f>
              <c:numCache>
                <c:formatCode>General</c:formatCode>
                <c:ptCount val="51"/>
                <c:pt idx="0">
                  <c:v>1.7976190476190477</c:v>
                </c:pt>
                <c:pt idx="1">
                  <c:v>1.6127640628838125</c:v>
                </c:pt>
                <c:pt idx="2">
                  <c:v>1.4778395814284264</c:v>
                </c:pt>
                <c:pt idx="3">
                  <c:v>1.3752196648236252</c:v>
                </c:pt>
                <c:pt idx="4">
                  <c:v>1.2946746757779493</c:v>
                </c:pt>
                <c:pt idx="5">
                  <c:v>1.2298644338118021</c:v>
                </c:pt>
                <c:pt idx="6">
                  <c:v>1.1766529503974921</c:v>
                </c:pt>
                <c:pt idx="7">
                  <c:v>1.1322289977938078</c:v>
                </c:pt>
                <c:pt idx="8">
                  <c:v>1.0946162695515584</c:v>
                </c:pt>
                <c:pt idx="9">
                  <c:v>1.0623856949745547</c:v>
                </c:pt>
                <c:pt idx="10">
                  <c:v>1.0344788858939802</c:v>
                </c:pt>
                <c:pt idx="11">
                  <c:v>1.0100956906546483</c:v>
                </c:pt>
                <c:pt idx="12">
                  <c:v>0.98862026807413039</c:v>
                </c:pt>
                <c:pt idx="13">
                  <c:v>0.96957113170918441</c:v>
                </c:pt>
                <c:pt idx="14">
                  <c:v>0.9525665710258735</c:v>
                </c:pt>
                <c:pt idx="15">
                  <c:v>0.93730020342923559</c:v>
                </c:pt>
                <c:pt idx="16">
                  <c:v>0.92352336015684755</c:v>
                </c:pt>
                <c:pt idx="17">
                  <c:v>0.91103217990307983</c:v>
                </c:pt>
                <c:pt idx="18">
                  <c:v>0.8996580072037772</c:v>
                </c:pt>
                <c:pt idx="19">
                  <c:v>0.88926015048082363</c:v>
                </c:pt>
                <c:pt idx="20">
                  <c:v>0.87972035109205959</c:v>
                </c:pt>
                <c:pt idx="21">
                  <c:v>0.87093851058286209</c:v>
                </c:pt>
                <c:pt idx="22">
                  <c:v>0.86282935512698566</c:v>
                </c:pt>
                <c:pt idx="23">
                  <c:v>0.85531980633025706</c:v>
                </c:pt>
                <c:pt idx="24">
                  <c:v>0.84834689024351162</c:v>
                </c:pt>
                <c:pt idx="25">
                  <c:v>0.84185606060606066</c:v>
                </c:pt>
                <c:pt idx="26">
                  <c:v>0.83579984388810447</c:v>
                </c:pt>
                <c:pt idx="27">
                  <c:v>0.83013673650461872</c:v>
                </c:pt>
                <c:pt idx="28">
                  <c:v>0.8248303012443714</c:v>
                </c:pt>
                <c:pt idx="29">
                  <c:v>0.81984842227401011</c:v>
                </c:pt>
                <c:pt idx="30">
                  <c:v>0.81516268726591767</c:v>
                </c:pt>
                <c:pt idx="31">
                  <c:v>0.81074787211726007</c:v>
                </c:pt>
                <c:pt idx="32">
                  <c:v>0.80658150898224013</c:v>
                </c:pt>
                <c:pt idx="33">
                  <c:v>0.80264352236278669</c:v>
                </c:pt>
                <c:pt idx="34">
                  <c:v>0.79891592110693233</c:v>
                </c:pt>
                <c:pt idx="35">
                  <c:v>0.79538253657627433</c:v>
                </c:pt>
                <c:pt idx="36">
                  <c:v>0.79202879913123947</c:v>
                </c:pt>
                <c:pt idx="37">
                  <c:v>0.78884154656908101</c:v>
                </c:pt>
                <c:pt idx="38">
                  <c:v>0.78580885932709643</c:v>
                </c:pt>
                <c:pt idx="39">
                  <c:v>0.78291991820196027</c:v>
                </c:pt>
                <c:pt idx="40">
                  <c:v>0.78016488108806326</c:v>
                </c:pt>
                <c:pt idx="41">
                  <c:v>0.77753477584351161</c:v>
                </c:pt>
                <c:pt idx="42">
                  <c:v>0.77502140688287624</c:v>
                </c:pt>
                <c:pt idx="43">
                  <c:v>0.77261727349473786</c:v>
                </c:pt>
                <c:pt idx="44">
                  <c:v>0.77031549820811052</c:v>
                </c:pt>
                <c:pt idx="45">
                  <c:v>0.76810976379941887</c:v>
                </c:pt>
                <c:pt idx="46">
                  <c:v>0.76599425775227836</c:v>
                </c:pt>
                <c:pt idx="47">
                  <c:v>0.76396362316483657</c:v>
                </c:pt>
                <c:pt idx="48">
                  <c:v>0.76201291525107029</c:v>
                </c:pt>
                <c:pt idx="49">
                  <c:v>0.7601375627088458</c:v>
                </c:pt>
                <c:pt idx="50">
                  <c:v>0.7583333333333333</c:v>
                </c:pt>
              </c:numCache>
            </c:numRef>
          </c:yVal>
          <c:smooth val="1"/>
        </c:ser>
        <c:dLbls>
          <c:showLegendKey val="0"/>
          <c:showVal val="0"/>
          <c:showCatName val="0"/>
          <c:showSerName val="0"/>
          <c:showPercent val="0"/>
          <c:showBubbleSize val="0"/>
        </c:dLbls>
        <c:axId val="132046208"/>
        <c:axId val="132048000"/>
      </c:scatterChart>
      <c:valAx>
        <c:axId val="132046208"/>
        <c:scaling>
          <c:orientation val="minMax"/>
        </c:scaling>
        <c:delete val="0"/>
        <c:axPos val="b"/>
        <c:numFmt formatCode="General" sourceLinked="1"/>
        <c:majorTickMark val="out"/>
        <c:minorTickMark val="none"/>
        <c:tickLblPos val="nextTo"/>
        <c:crossAx val="132048000"/>
        <c:crosses val="autoZero"/>
        <c:crossBetween val="midCat"/>
      </c:valAx>
      <c:valAx>
        <c:axId val="132048000"/>
        <c:scaling>
          <c:orientation val="minMax"/>
        </c:scaling>
        <c:delete val="0"/>
        <c:axPos val="l"/>
        <c:majorGridlines/>
        <c:numFmt formatCode="General" sourceLinked="1"/>
        <c:majorTickMark val="out"/>
        <c:minorTickMark val="none"/>
        <c:tickLblPos val="nextTo"/>
        <c:crossAx val="1320462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RMS</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'Fly-BB_Calc'!$V$4:$V$54</c:f>
              <c:numCache>
                <c:formatCode>0.0000</c:formatCode>
                <c:ptCount val="51"/>
                <c:pt idx="0">
                  <c:v>1.4792024535198292</c:v>
                </c:pt>
                <c:pt idx="1">
                  <c:v>1.285484709753147</c:v>
                </c:pt>
                <c:pt idx="2">
                  <c:v>1.1424012066141054</c:v>
                </c:pt>
                <c:pt idx="3">
                  <c:v>1.0322376797291608</c:v>
                </c:pt>
                <c:pt idx="4">
                  <c:v>0.94469066434977456</c:v>
                </c:pt>
                <c:pt idx="5">
                  <c:v>0.87335779901197885</c:v>
                </c:pt>
                <c:pt idx="6">
                  <c:v>0.81405034792153608</c:v>
                </c:pt>
                <c:pt idx="7">
                  <c:v>0.76391203845155231</c:v>
                </c:pt>
                <c:pt idx="8">
                  <c:v>0.72092785571989615</c:v>
                </c:pt>
                <c:pt idx="9">
                  <c:v>0.68363527072827845</c:v>
                </c:pt>
                <c:pt idx="10">
                  <c:v>0.65094681650113451</c:v>
                </c:pt>
                <c:pt idx="11">
                  <c:v>0.62203693914046576</c:v>
                </c:pt>
                <c:pt idx="12">
                  <c:v>0.59626750025816311</c:v>
                </c:pt>
                <c:pt idx="13">
                  <c:v>0.57313735344583405</c:v>
                </c:pt>
                <c:pt idx="14">
                  <c:v>0.55224738011891128</c:v>
                </c:pt>
                <c:pt idx="15">
                  <c:v>0.5332757222379545</c:v>
                </c:pt>
                <c:pt idx="16">
                  <c:v>0.5159599020870459</c:v>
                </c:pt>
                <c:pt idx="17">
                  <c:v>0.5000836929107616</c:v>
                </c:pt>
                <c:pt idx="18">
                  <c:v>0.4854673294871365</c:v>
                </c:pt>
                <c:pt idx="19">
                  <c:v>0.47196010721313031</c:v>
                </c:pt>
                <c:pt idx="20">
                  <c:v>0.4594347159899107</c:v>
                </c:pt>
                <c:pt idx="21">
                  <c:v>0.44778285203423984</c:v>
                </c:pt>
                <c:pt idx="22">
                  <c:v>0.43691178331030084</c:v>
                </c:pt>
                <c:pt idx="23">
                  <c:v>0.42674163507652174</c:v>
                </c:pt>
                <c:pt idx="24">
                  <c:v>0.41720322520324687</c:v>
                </c:pt>
                <c:pt idx="25">
                  <c:v>0.40823632348263139</c:v>
                </c:pt>
                <c:pt idx="26">
                  <c:v>0.39978824101327021</c:v>
                </c:pt>
                <c:pt idx="27">
                  <c:v>0.39181267879988768</c:v>
                </c:pt>
                <c:pt idx="28">
                  <c:v>0.38426878158552236</c:v>
                </c:pt>
                <c:pt idx="29">
                  <c:v>0.37712035541791633</c:v>
                </c:pt>
                <c:pt idx="30">
                  <c:v>0.37033521677823472</c:v>
                </c:pt>
                <c:pt idx="31">
                  <c:v>0.36388464813222376</c:v>
                </c:pt>
                <c:pt idx="32">
                  <c:v>0.35774294011209107</c:v>
                </c:pt>
                <c:pt idx="33">
                  <c:v>0.35188700463824441</c:v>
                </c:pt>
                <c:pt idx="34">
                  <c:v>0.34629604645869333</c:v>
                </c:pt>
                <c:pt idx="35">
                  <c:v>0.34095128305009842</c:v>
                </c:pt>
                <c:pt idx="36">
                  <c:v>0.33583570475709812</c:v>
                </c:pt>
                <c:pt idx="37">
                  <c:v>0.33093386857090268</c:v>
                </c:pt>
                <c:pt idx="38">
                  <c:v>0.32623172015791496</c:v>
                </c:pt>
                <c:pt idx="39">
                  <c:v>0.32171643971483826</c:v>
                </c:pt>
                <c:pt idx="40">
                  <c:v>0.31737630800191213</c:v>
                </c:pt>
                <c:pt idx="41">
                  <c:v>0.31320058953145025</c:v>
                </c:pt>
                <c:pt idx="42">
                  <c:v>0.30917943039617951</c:v>
                </c:pt>
                <c:pt idx="43">
                  <c:v>0.30530376863531644</c:v>
                </c:pt>
                <c:pt idx="44">
                  <c:v>0.30156525537479834</c:v>
                </c:pt>
                <c:pt idx="45">
                  <c:v>0.29795618525640039</c:v>
                </c:pt>
                <c:pt idx="46">
                  <c:v>0.29446943490030314</c:v>
                </c:pt>
                <c:pt idx="47">
                  <c:v>0.29109840833621198</c:v>
                </c:pt>
                <c:pt idx="48">
                  <c:v>0.2878369884967148</c:v>
                </c:pt>
                <c:pt idx="49">
                  <c:v>0.28467949399904519</c:v>
                </c:pt>
                <c:pt idx="50">
                  <c:v>0.28162064055247293</c:v>
                </c:pt>
              </c:numCache>
            </c:numRef>
          </c:yVal>
          <c:smooth val="1"/>
        </c:ser>
        <c:dLbls>
          <c:showLegendKey val="0"/>
          <c:showVal val="0"/>
          <c:showCatName val="0"/>
          <c:showSerName val="0"/>
          <c:showPercent val="0"/>
          <c:showBubbleSize val="0"/>
        </c:dLbls>
        <c:axId val="131818624"/>
        <c:axId val="131820160"/>
      </c:scatterChart>
      <c:valAx>
        <c:axId val="131818624"/>
        <c:scaling>
          <c:orientation val="minMax"/>
        </c:scaling>
        <c:delete val="0"/>
        <c:axPos val="b"/>
        <c:numFmt formatCode="General" sourceLinked="1"/>
        <c:majorTickMark val="out"/>
        <c:minorTickMark val="none"/>
        <c:tickLblPos val="nextTo"/>
        <c:crossAx val="131820160"/>
        <c:crosses val="autoZero"/>
        <c:crossBetween val="midCat"/>
      </c:valAx>
      <c:valAx>
        <c:axId val="131820160"/>
        <c:scaling>
          <c:orientation val="minMax"/>
        </c:scaling>
        <c:delete val="0"/>
        <c:axPos val="l"/>
        <c:majorGridlines/>
        <c:numFmt formatCode="0.0000" sourceLinked="1"/>
        <c:majorTickMark val="out"/>
        <c:minorTickMark val="none"/>
        <c:tickLblPos val="nextTo"/>
        <c:crossAx val="13181862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Eff</c:v>
          </c:tx>
          <c:marker>
            <c:symbol val="none"/>
          </c:marker>
          <c:xVal>
            <c:numRef>
              <c:f>'Fly-BB_Calc'!$L$4:$L$54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'Fly-BB_Calc'!$CU$4:$CU$54</c:f>
              <c:numCache>
                <c:formatCode>General</c:formatCode>
                <c:ptCount val="51"/>
                <c:pt idx="0">
                  <c:v>0.88007509974184461</c:v>
                </c:pt>
                <c:pt idx="1">
                  <c:v>0.89733442563218746</c:v>
                </c:pt>
                <c:pt idx="2">
                  <c:v>0.90836161767457224</c:v>
                </c:pt>
                <c:pt idx="3">
                  <c:v>0.91569073363822018</c:v>
                </c:pt>
                <c:pt idx="4">
                  <c:v>0.9206936156676726</c:v>
                </c:pt>
                <c:pt idx="5">
                  <c:v>0.92416211349714272</c:v>
                </c:pt>
                <c:pt idx="6">
                  <c:v>0.92657821035086607</c:v>
                </c:pt>
                <c:pt idx="7">
                  <c:v>0.92824857538877581</c:v>
                </c:pt>
                <c:pt idx="8">
                  <c:v>0.92937577090900148</c:v>
                </c:pt>
                <c:pt idx="9">
                  <c:v>0.93009793554799569</c:v>
                </c:pt>
                <c:pt idx="10">
                  <c:v>0.93051190308294418</c:v>
                </c:pt>
                <c:pt idx="11">
                  <c:v>0.93068719835611569</c:v>
                </c:pt>
                <c:pt idx="12">
                  <c:v>0.93067479883648385</c:v>
                </c:pt>
                <c:pt idx="13">
                  <c:v>0.93051278321434383</c:v>
                </c:pt>
                <c:pt idx="14">
                  <c:v>0.93023006912301642</c:v>
                </c:pt>
                <c:pt idx="15">
                  <c:v>0.92984894444281385</c:v>
                </c:pt>
                <c:pt idx="16">
                  <c:v>0.92938681756742292</c:v>
                </c:pt>
                <c:pt idx="17">
                  <c:v>0.92885745048397472</c:v>
                </c:pt>
                <c:pt idx="18">
                  <c:v>0.9282718423321743</c:v>
                </c:pt>
                <c:pt idx="19">
                  <c:v>0.92763887234417486</c:v>
                </c:pt>
                <c:pt idx="20">
                  <c:v>0.92696577432085425</c:v>
                </c:pt>
                <c:pt idx="21">
                  <c:v>0.92625849132995342</c:v>
                </c:pt>
                <c:pt idx="22">
                  <c:v>0.92552194402729926</c:v>
                </c:pt>
                <c:pt idx="23">
                  <c:v>0.92476023587020872</c:v>
                </c:pt>
                <c:pt idx="24">
                  <c:v>0.9239768116643996</c:v>
                </c:pt>
                <c:pt idx="25">
                  <c:v>0.92317458121443996</c:v>
                </c:pt>
                <c:pt idx="26">
                  <c:v>0.92235601660664435</c:v>
                </c:pt>
                <c:pt idx="27">
                  <c:v>0.92152322937498365</c:v>
                </c:pt>
                <c:pt idx="28">
                  <c:v>0.92067803217940614</c:v>
                </c:pt>
                <c:pt idx="29">
                  <c:v>0.91982198845926266</c:v>
                </c:pt>
                <c:pt idx="30">
                  <c:v>0.91895645267589043</c:v>
                </c:pt>
                <c:pt idx="31">
                  <c:v>0.91808260313497048</c:v>
                </c:pt>
                <c:pt idx="32">
                  <c:v>0.91720146891692733</c:v>
                </c:pt>
                <c:pt idx="33">
                  <c:v>0.91631395209776267</c:v>
                </c:pt>
                <c:pt idx="34">
                  <c:v>0.91542084618176489</c:v>
                </c:pt>
                <c:pt idx="35">
                  <c:v>0.9145228514691397</c:v>
                </c:pt>
                <c:pt idx="36">
                  <c:v>0.91362058792962186</c:v>
                </c:pt>
                <c:pt idx="37">
                  <c:v>0.9127146060358845</c:v>
                </c:pt>
                <c:pt idx="38">
                  <c:v>0.91180539591950505</c:v>
                </c:pt>
                <c:pt idx="39">
                  <c:v>0.91089339514108325</c:v>
                </c:pt>
                <c:pt idx="40">
                  <c:v>0.90997899531014537</c:v>
                </c:pt>
                <c:pt idx="41">
                  <c:v>0.90906254774621542</c:v>
                </c:pt>
                <c:pt idx="42">
                  <c:v>0.90814436833723955</c:v>
                </c:pt>
                <c:pt idx="43">
                  <c:v>0.90722474172342027</c:v>
                </c:pt>
                <c:pt idx="44">
                  <c:v>0.90630392491191492</c:v>
                </c:pt>
                <c:pt idx="45">
                  <c:v>0.90538215040960057</c:v>
                </c:pt>
                <c:pt idx="46">
                  <c:v>0.9044596289463237</c:v>
                </c:pt>
                <c:pt idx="47">
                  <c:v>0.90353655184898507</c:v>
                </c:pt>
                <c:pt idx="48">
                  <c:v>0.90261309311696336</c:v>
                </c:pt>
                <c:pt idx="49">
                  <c:v>0.90168941124127289</c:v>
                </c:pt>
                <c:pt idx="50">
                  <c:v>0.90076565080318272</c:v>
                </c:pt>
              </c:numCache>
            </c:numRef>
          </c:yVal>
          <c:smooth val="1"/>
        </c:ser>
        <c:dLbls>
          <c:showLegendKey val="0"/>
          <c:showVal val="0"/>
          <c:showCatName val="0"/>
          <c:showSerName val="0"/>
          <c:showPercent val="0"/>
          <c:showBubbleSize val="0"/>
        </c:dLbls>
        <c:axId val="131836544"/>
        <c:axId val="131867008"/>
      </c:scatterChart>
      <c:valAx>
        <c:axId val="131836544"/>
        <c:scaling>
          <c:orientation val="minMax"/>
        </c:scaling>
        <c:delete val="0"/>
        <c:axPos val="b"/>
        <c:numFmt formatCode="General" sourceLinked="1"/>
        <c:majorTickMark val="out"/>
        <c:minorTickMark val="none"/>
        <c:tickLblPos val="nextTo"/>
        <c:crossAx val="131867008"/>
        <c:crosses val="autoZero"/>
        <c:crossBetween val="midCat"/>
      </c:valAx>
      <c:valAx>
        <c:axId val="131867008"/>
        <c:scaling>
          <c:orientation val="minMax"/>
        </c:scaling>
        <c:delete val="0"/>
        <c:axPos val="l"/>
        <c:majorGridlines/>
        <c:numFmt formatCode="General" sourceLinked="1"/>
        <c:majorTickMark val="out"/>
        <c:minorTickMark val="none"/>
        <c:tickLblPos val="nextTo"/>
        <c:crossAx val="1318365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53018372703414"/>
          <c:y val="5.1400554097404488E-2"/>
          <c:w val="0.70106692913385826"/>
          <c:h val="0.7321486904001796"/>
        </c:manualLayout>
      </c:layout>
      <c:scatterChart>
        <c:scatterStyle val="smoothMarker"/>
        <c:varyColors val="0"/>
        <c:ser>
          <c:idx val="0"/>
          <c:order val="0"/>
          <c:tx>
            <c:strRef>
              <c:f>'Fly-Buck_Max'!$C$8</c:f>
              <c:strCache>
                <c:ptCount val="1"/>
                <c:pt idx="0">
                  <c:v>LM5160</c:v>
                </c:pt>
              </c:strCache>
            </c:strRef>
          </c:tx>
          <c:spPr>
            <a:ln>
              <a:solidFill>
                <a:srgbClr val="FF0000"/>
              </a:solidFill>
            </a:ln>
          </c:spPr>
          <c:marker>
            <c:symbol val="none"/>
          </c:marker>
          <c:xVal>
            <c:numRef>
              <c:f>'Fly-Buck_Max'!$B$11:$B$21</c:f>
              <c:numCache>
                <c:formatCode>General</c:formatCode>
                <c:ptCount val="11"/>
                <c:pt idx="0">
                  <c:v>4.5</c:v>
                </c:pt>
                <c:pt idx="1">
                  <c:v>6</c:v>
                </c:pt>
                <c:pt idx="2">
                  <c:v>7.5</c:v>
                </c:pt>
                <c:pt idx="3">
                  <c:v>10</c:v>
                </c:pt>
                <c:pt idx="4">
                  <c:v>13</c:v>
                </c:pt>
                <c:pt idx="5">
                  <c:v>18</c:v>
                </c:pt>
                <c:pt idx="6">
                  <c:v>20</c:v>
                </c:pt>
                <c:pt idx="7">
                  <c:v>24</c:v>
                </c:pt>
                <c:pt idx="8">
                  <c:v>30</c:v>
                </c:pt>
                <c:pt idx="9">
                  <c:v>36</c:v>
                </c:pt>
                <c:pt idx="10">
                  <c:v>40</c:v>
                </c:pt>
              </c:numCache>
            </c:numRef>
          </c:xVal>
          <c:yVal>
            <c:numRef>
              <c:f>'Fly-Buck_Max'!$C$11:$C$21</c:f>
              <c:numCache>
                <c:formatCode>0.0</c:formatCode>
                <c:ptCount val="11"/>
                <c:pt idx="0">
                  <c:v>3.0375000000000001</c:v>
                </c:pt>
                <c:pt idx="1">
                  <c:v>4.0500000000000007</c:v>
                </c:pt>
                <c:pt idx="2">
                  <c:v>5.0625</c:v>
                </c:pt>
                <c:pt idx="3">
                  <c:v>6.75</c:v>
                </c:pt>
                <c:pt idx="4">
                  <c:v>8.4240000000000013</c:v>
                </c:pt>
                <c:pt idx="5">
                  <c:v>9.7200000000000006</c:v>
                </c:pt>
                <c:pt idx="6">
                  <c:v>10.125</c:v>
                </c:pt>
                <c:pt idx="7">
                  <c:v>10.8</c:v>
                </c:pt>
                <c:pt idx="8">
                  <c:v>11.571428571428571</c:v>
                </c:pt>
                <c:pt idx="9">
                  <c:v>12.15</c:v>
                </c:pt>
                <c:pt idx="10">
                  <c:v>12.461538461538462</c:v>
                </c:pt>
              </c:numCache>
            </c:numRef>
          </c:yVal>
          <c:smooth val="1"/>
        </c:ser>
        <c:ser>
          <c:idx val="1"/>
          <c:order val="1"/>
          <c:tx>
            <c:strRef>
              <c:f>'Fly-Buck_Max'!$D$8</c:f>
              <c:strCache>
                <c:ptCount val="1"/>
                <c:pt idx="0">
                  <c:v>LM5017</c:v>
                </c:pt>
              </c:strCache>
            </c:strRef>
          </c:tx>
          <c:spPr>
            <a:ln>
              <a:solidFill>
                <a:schemeClr val="accent1"/>
              </a:solidFill>
            </a:ln>
          </c:spPr>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'Fly-Buck_Max'!$D$12:$D$21</c:f>
              <c:numCache>
                <c:formatCode>0.0</c:formatCode>
                <c:ptCount val="10"/>
                <c:pt idx="1">
                  <c:v>2.0250000000000004</c:v>
                </c:pt>
                <c:pt idx="2">
                  <c:v>2.7</c:v>
                </c:pt>
                <c:pt idx="3">
                  <c:v>3.3696000000000002</c:v>
                </c:pt>
                <c:pt idx="4">
                  <c:v>3.8880000000000003</c:v>
                </c:pt>
                <c:pt idx="5">
                  <c:v>4.0500000000000007</c:v>
                </c:pt>
                <c:pt idx="6">
                  <c:v>4.32</c:v>
                </c:pt>
                <c:pt idx="7">
                  <c:v>4.628571428571429</c:v>
                </c:pt>
                <c:pt idx="8">
                  <c:v>4.8600000000000003</c:v>
                </c:pt>
                <c:pt idx="9">
                  <c:v>4.9846153846153847</c:v>
                </c:pt>
              </c:numCache>
            </c:numRef>
          </c:yVal>
          <c:smooth val="1"/>
        </c:ser>
        <c:ser>
          <c:idx val="2"/>
          <c:order val="2"/>
          <c:tx>
            <c:strRef>
              <c:f>'Fly-Buck_Max'!$E$8</c:f>
              <c:strCache>
                <c:ptCount val="1"/>
                <c:pt idx="0">
                  <c:v>LM5018</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'Fly-Buck_Max'!$E$12:$E$21</c:f>
              <c:numCache>
                <c:formatCode>0.0</c:formatCode>
                <c:ptCount val="10"/>
                <c:pt idx="1">
                  <c:v>1.0125000000000002</c:v>
                </c:pt>
                <c:pt idx="2">
                  <c:v>1.35</c:v>
                </c:pt>
                <c:pt idx="3">
                  <c:v>1.6848000000000001</c:v>
                </c:pt>
                <c:pt idx="4">
                  <c:v>1.9440000000000002</c:v>
                </c:pt>
                <c:pt idx="5">
                  <c:v>2.0250000000000004</c:v>
                </c:pt>
                <c:pt idx="6">
                  <c:v>2.16</c:v>
                </c:pt>
                <c:pt idx="7">
                  <c:v>2.3142857142857145</c:v>
                </c:pt>
                <c:pt idx="8">
                  <c:v>2.4300000000000002</c:v>
                </c:pt>
                <c:pt idx="9">
                  <c:v>2.4923076923076923</c:v>
                </c:pt>
              </c:numCache>
            </c:numRef>
          </c:yVal>
          <c:smooth val="1"/>
        </c:ser>
        <c:ser>
          <c:idx val="3"/>
          <c:order val="3"/>
          <c:tx>
            <c:strRef>
              <c:f>'Fly-Buck_Max'!$F$8</c:f>
              <c:strCache>
                <c:ptCount val="1"/>
                <c:pt idx="0">
                  <c:v>LM5019</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'Fly-Buck_Max'!$F$12:$F$21</c:f>
              <c:numCache>
                <c:formatCode>0.0</c:formatCode>
                <c:ptCount val="10"/>
                <c:pt idx="1">
                  <c:v>0.33750000000000002</c:v>
                </c:pt>
                <c:pt idx="2">
                  <c:v>0.45000000000000007</c:v>
                </c:pt>
                <c:pt idx="3">
                  <c:v>0.5616000000000001</c:v>
                </c:pt>
                <c:pt idx="4">
                  <c:v>0.64800000000000013</c:v>
                </c:pt>
                <c:pt idx="5">
                  <c:v>0.67500000000000004</c:v>
                </c:pt>
                <c:pt idx="6">
                  <c:v>0.72000000000000008</c:v>
                </c:pt>
                <c:pt idx="7">
                  <c:v>0.77142857142857146</c:v>
                </c:pt>
                <c:pt idx="8">
                  <c:v>0.81</c:v>
                </c:pt>
                <c:pt idx="9">
                  <c:v>0.83076923076923082</c:v>
                </c:pt>
              </c:numCache>
            </c:numRef>
          </c:yVal>
          <c:smooth val="1"/>
        </c:ser>
        <c:dLbls>
          <c:showLegendKey val="0"/>
          <c:showVal val="0"/>
          <c:showCatName val="0"/>
          <c:showSerName val="0"/>
          <c:showPercent val="0"/>
          <c:showBubbleSize val="0"/>
        </c:dLbls>
        <c:axId val="132148608"/>
        <c:axId val="132150784"/>
      </c:scatterChart>
      <c:valAx>
        <c:axId val="132148608"/>
        <c:scaling>
          <c:orientation val="minMax"/>
          <c:min val="0"/>
        </c:scaling>
        <c:delete val="0"/>
        <c:axPos val="b"/>
        <c:majorGridlines/>
        <c:title>
          <c:tx>
            <c:rich>
              <a:bodyPr/>
              <a:lstStyle/>
              <a:p>
                <a:pPr>
                  <a:defRPr sz="1400"/>
                </a:pPr>
                <a:r>
                  <a:rPr lang="en-US" sz="1400"/>
                  <a:t>Minimum Operating Input Voltage (V)</a:t>
                </a:r>
              </a:p>
            </c:rich>
          </c:tx>
          <c:overlay val="0"/>
        </c:title>
        <c:numFmt formatCode="General" sourceLinked="1"/>
        <c:majorTickMark val="out"/>
        <c:minorTickMark val="none"/>
        <c:tickLblPos val="nextTo"/>
        <c:txPr>
          <a:bodyPr/>
          <a:lstStyle/>
          <a:p>
            <a:pPr>
              <a:defRPr sz="1200" b="1"/>
            </a:pPr>
            <a:endParaRPr lang="en-US"/>
          </a:p>
        </c:txPr>
        <c:crossAx val="132150784"/>
        <c:crosses val="autoZero"/>
        <c:crossBetween val="midCat"/>
        <c:majorUnit val="6"/>
      </c:valAx>
      <c:valAx>
        <c:axId val="132150784"/>
        <c:scaling>
          <c:orientation val="minMax"/>
        </c:scaling>
        <c:delete val="0"/>
        <c:axPos val="l"/>
        <c:majorGridlines/>
        <c:title>
          <c:tx>
            <c:rich>
              <a:bodyPr rot="-5400000" vert="horz"/>
              <a:lstStyle/>
              <a:p>
                <a:pPr>
                  <a:defRPr sz="1400"/>
                </a:pPr>
                <a:r>
                  <a:rPr lang="en-US" sz="1400"/>
                  <a:t>Maximum Output Power (W)</a:t>
                </a:r>
              </a:p>
            </c:rich>
          </c:tx>
          <c:layout>
            <c:manualLayout>
              <c:xMode val="edge"/>
              <c:yMode val="edge"/>
              <c:x val="4.1678040244969378E-2"/>
              <c:y val="0.10194372374710461"/>
            </c:manualLayout>
          </c:layout>
          <c:overlay val="0"/>
        </c:title>
        <c:numFmt formatCode="#\ ?/?" sourceLinked="0"/>
        <c:majorTickMark val="out"/>
        <c:minorTickMark val="none"/>
        <c:tickLblPos val="nextTo"/>
        <c:txPr>
          <a:bodyPr/>
          <a:lstStyle/>
          <a:p>
            <a:pPr>
              <a:defRPr sz="1200" b="1"/>
            </a:pPr>
            <a:endParaRPr lang="en-US"/>
          </a:p>
        </c:txPr>
        <c:crossAx val="132148608"/>
        <c:crosses val="autoZero"/>
        <c:crossBetween val="midCat"/>
      </c:valAx>
      <c:spPr>
        <a:noFill/>
      </c:spPr>
    </c:plotArea>
    <c:legend>
      <c:legendPos val="r"/>
      <c:legendEntry>
        <c:idx val="0"/>
        <c:txPr>
          <a:bodyPr/>
          <a:lstStyle/>
          <a:p>
            <a:pPr>
              <a:defRPr sz="1200" b="1"/>
            </a:pPr>
            <a:endParaRPr lang="en-US"/>
          </a:p>
        </c:txPr>
      </c:legendEntry>
      <c:layout>
        <c:manualLayout>
          <c:xMode val="edge"/>
          <c:yMode val="edge"/>
          <c:x val="0.19096413652347108"/>
          <c:y val="6.0819680628250092E-2"/>
          <c:w val="0.19104820040979284"/>
          <c:h val="0.27544649846195507"/>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External Components</a:t>
            </a:r>
          </a:p>
        </c:rich>
      </c:tx>
      <c:overlay val="0"/>
    </c:title>
    <c:autoTitleDeleted val="0"/>
    <c:plotArea>
      <c:layout/>
      <c:barChart>
        <c:barDir val="col"/>
        <c:grouping val="clustered"/>
        <c:varyColors val="0"/>
        <c:ser>
          <c:idx val="0"/>
          <c:order val="0"/>
          <c:spPr>
            <a:solidFill>
              <a:srgbClr val="FF0000"/>
            </a:solidFill>
            <a:ln>
              <a:solidFill>
                <a:schemeClr val="tx1"/>
              </a:solidFill>
            </a:ln>
          </c:spPr>
          <c:invertIfNegative val="0"/>
          <c:cat>
            <c:strLit>
              <c:ptCount val="8"/>
              <c:pt idx="0">
                <c:v>Fly-Buck</c:v>
              </c:pt>
              <c:pt idx="1">
                <c:v>Fly-Buck-Boost</c:v>
              </c:pt>
              <c:pt idx="2">
                <c:v>Flyback CCM ISO</c:v>
              </c:pt>
              <c:pt idx="3">
                <c:v>Flyback CCM Non-ISO</c:v>
              </c:pt>
              <c:pt idx="4">
                <c:v>Flyback CCM PSR</c:v>
              </c:pt>
              <c:pt idx="5">
                <c:v>Flyback DCM Iso</c:v>
              </c:pt>
              <c:pt idx="6">
                <c:v>Flyback DCM Non-Iso</c:v>
              </c:pt>
              <c:pt idx="7">
                <c:v>Flyback DCM PSR</c:v>
              </c:pt>
            </c:strLit>
          </c:cat>
          <c:val>
            <c:numRef>
              <c:f>Designs!$D$77:$D$84</c:f>
              <c:numCache>
                <c:formatCode>General</c:formatCode>
                <c:ptCount val="8"/>
                <c:pt idx="0">
                  <c:v>16</c:v>
                </c:pt>
                <c:pt idx="1">
                  <c:v>16</c:v>
                </c:pt>
                <c:pt idx="2">
                  <c:v>22</c:v>
                </c:pt>
                <c:pt idx="3">
                  <c:v>19</c:v>
                </c:pt>
                <c:pt idx="4">
                  <c:v>19</c:v>
                </c:pt>
                <c:pt idx="5">
                  <c:v>21</c:v>
                </c:pt>
                <c:pt idx="6">
                  <c:v>18</c:v>
                </c:pt>
                <c:pt idx="7">
                  <c:v>18</c:v>
                </c:pt>
              </c:numCache>
            </c:numRef>
          </c:val>
        </c:ser>
        <c:dLbls>
          <c:showLegendKey val="0"/>
          <c:showVal val="0"/>
          <c:showCatName val="0"/>
          <c:showSerName val="0"/>
          <c:showPercent val="0"/>
          <c:showBubbleSize val="0"/>
        </c:dLbls>
        <c:gapWidth val="150"/>
        <c:axId val="116386432"/>
        <c:axId val="116466048"/>
      </c:barChart>
      <c:catAx>
        <c:axId val="116386432"/>
        <c:scaling>
          <c:orientation val="minMax"/>
        </c:scaling>
        <c:delete val="0"/>
        <c:axPos val="b"/>
        <c:majorTickMark val="out"/>
        <c:minorTickMark val="none"/>
        <c:tickLblPos val="nextTo"/>
        <c:txPr>
          <a:bodyPr/>
          <a:lstStyle/>
          <a:p>
            <a:pPr>
              <a:defRPr sz="800"/>
            </a:pPr>
            <a:endParaRPr lang="en-US"/>
          </a:p>
        </c:txPr>
        <c:crossAx val="116466048"/>
        <c:crosses val="autoZero"/>
        <c:auto val="1"/>
        <c:lblAlgn val="ctr"/>
        <c:lblOffset val="100"/>
        <c:noMultiLvlLbl val="0"/>
      </c:catAx>
      <c:valAx>
        <c:axId val="116466048"/>
        <c:scaling>
          <c:orientation val="minMax"/>
        </c:scaling>
        <c:delete val="0"/>
        <c:axPos val="l"/>
        <c:majorGridlines/>
        <c:title>
          <c:tx>
            <c:rich>
              <a:bodyPr rot="-5400000" vert="horz"/>
              <a:lstStyle/>
              <a:p>
                <a:pPr>
                  <a:defRPr/>
                </a:pPr>
                <a:r>
                  <a:rPr lang="en-US"/>
                  <a:t>External</a:t>
                </a:r>
                <a:r>
                  <a:rPr lang="en-US" baseline="0"/>
                  <a:t> Components</a:t>
                </a:r>
                <a:endParaRPr lang="en-US"/>
              </a:p>
            </c:rich>
          </c:tx>
          <c:overlay val="0"/>
        </c:title>
        <c:numFmt formatCode="General" sourceLinked="1"/>
        <c:majorTickMark val="out"/>
        <c:minorTickMark val="none"/>
        <c:tickLblPos val="nextTo"/>
        <c:crossAx val="11638643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'Fly-Buck_Calc'!$Q$4:$Q$54</c:f>
              <c:numCache>
                <c:formatCode>General</c:formatCode>
                <c:ptCount val="51"/>
                <c:pt idx="0">
                  <c:v>2.5</c:v>
                </c:pt>
                <c:pt idx="1">
                  <c:v>2.1186440677966103</c:v>
                </c:pt>
                <c:pt idx="2">
                  <c:v>1.838235294117647</c:v>
                </c:pt>
                <c:pt idx="3">
                  <c:v>1.6233766233766234</c:v>
                </c:pt>
                <c:pt idx="4">
                  <c:v>1.4534883720930232</c:v>
                </c:pt>
                <c:pt idx="5">
                  <c:v>1.3157894736842104</c:v>
                </c:pt>
                <c:pt idx="6">
                  <c:v>1.2019230769230769</c:v>
                </c:pt>
                <c:pt idx="7">
                  <c:v>1.1061946902654867</c:v>
                </c:pt>
                <c:pt idx="8">
                  <c:v>1.0245901639344261</c:v>
                </c:pt>
                <c:pt idx="9">
                  <c:v>0.95419847328244267</c:v>
                </c:pt>
                <c:pt idx="10">
                  <c:v>0.89285714285714279</c:v>
                </c:pt>
                <c:pt idx="11">
                  <c:v>0.83892617449664419</c:v>
                </c:pt>
                <c:pt idx="12">
                  <c:v>0.79113924050632911</c:v>
                </c:pt>
                <c:pt idx="13">
                  <c:v>0.74850299401197606</c:v>
                </c:pt>
                <c:pt idx="14">
                  <c:v>0.71022727272727271</c:v>
                </c:pt>
                <c:pt idx="15">
                  <c:v>0.67567567567567555</c:v>
                </c:pt>
                <c:pt idx="16">
                  <c:v>0.64432989690721643</c:v>
                </c:pt>
                <c:pt idx="17">
                  <c:v>0.61576354679802958</c:v>
                </c:pt>
                <c:pt idx="18">
                  <c:v>0.58962264150943389</c:v>
                </c:pt>
                <c:pt idx="19">
                  <c:v>0.56561085972850667</c:v>
                </c:pt>
                <c:pt idx="20">
                  <c:v>0.54347826086956519</c:v>
                </c:pt>
                <c:pt idx="21">
                  <c:v>0.52301255230125521</c:v>
                </c:pt>
                <c:pt idx="22">
                  <c:v>0.50403225806451613</c:v>
                </c:pt>
                <c:pt idx="23">
                  <c:v>0.48638132295719838</c:v>
                </c:pt>
                <c:pt idx="24">
                  <c:v>0.46992481203007519</c:v>
                </c:pt>
                <c:pt idx="25">
                  <c:v>0.45454545454545453</c:v>
                </c:pt>
                <c:pt idx="26">
                  <c:v>0.44014084507042256</c:v>
                </c:pt>
                <c:pt idx="27">
                  <c:v>0.42662116040955628</c:v>
                </c:pt>
                <c:pt idx="28">
                  <c:v>0.41390728476821192</c:v>
                </c:pt>
                <c:pt idx="29">
                  <c:v>0.40192926045016075</c:v>
                </c:pt>
                <c:pt idx="30">
                  <c:v>0.39062499999999994</c:v>
                </c:pt>
                <c:pt idx="31">
                  <c:v>0.37993920972644374</c:v>
                </c:pt>
                <c:pt idx="32">
                  <c:v>0.36982248520710059</c:v>
                </c:pt>
                <c:pt idx="33">
                  <c:v>0.36023054755043227</c:v>
                </c:pt>
                <c:pt idx="34">
                  <c:v>0.351123595505618</c:v>
                </c:pt>
                <c:pt idx="35">
                  <c:v>0.34246575342465752</c:v>
                </c:pt>
                <c:pt idx="36">
                  <c:v>0.33422459893048129</c:v>
                </c:pt>
                <c:pt idx="37">
                  <c:v>0.32637075718015668</c:v>
                </c:pt>
                <c:pt idx="38">
                  <c:v>0.3188775510204081</c:v>
                </c:pt>
                <c:pt idx="39">
                  <c:v>0.31172069825436405</c:v>
                </c:pt>
                <c:pt idx="40">
                  <c:v>0.3048780487804878</c:v>
                </c:pt>
                <c:pt idx="41">
                  <c:v>0.29832935560859186</c:v>
                </c:pt>
                <c:pt idx="42">
                  <c:v>0.29205607476635514</c:v>
                </c:pt>
                <c:pt idx="43">
                  <c:v>0.28604118993135008</c:v>
                </c:pt>
                <c:pt idx="44">
                  <c:v>0.2802690582959641</c:v>
                </c:pt>
                <c:pt idx="45">
                  <c:v>0.27472527472527469</c:v>
                </c:pt>
                <c:pt idx="46">
                  <c:v>0.2693965517241379</c:v>
                </c:pt>
                <c:pt idx="47">
                  <c:v>0.26427061310782241</c:v>
                </c:pt>
                <c:pt idx="48">
                  <c:v>0.25933609958506221</c:v>
                </c:pt>
                <c:pt idx="49">
                  <c:v>0.25458248472505091</c:v>
                </c:pt>
                <c:pt idx="50">
                  <c:v>0.25</c:v>
                </c:pt>
              </c:numCache>
            </c:numRef>
          </c:yVal>
          <c:smooth val="1"/>
        </c:ser>
        <c:dLbls>
          <c:showLegendKey val="0"/>
          <c:showVal val="0"/>
          <c:showCatName val="0"/>
          <c:showSerName val="0"/>
          <c:showPercent val="0"/>
          <c:showBubbleSize val="0"/>
        </c:dLbls>
        <c:axId val="117190016"/>
        <c:axId val="116831744"/>
      </c:scatterChart>
      <c:valAx>
        <c:axId val="11719001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6831744"/>
        <c:crosses val="autoZero"/>
        <c:crossBetween val="midCat"/>
      </c:valAx>
      <c:valAx>
        <c:axId val="116831744"/>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17190016"/>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6</c:v>
                </c:pt>
                <c:pt idx="1">
                  <c:v>7.08</c:v>
                </c:pt>
                <c:pt idx="2">
                  <c:v>8.16</c:v>
                </c:pt>
                <c:pt idx="3">
                  <c:v>9.24</c:v>
                </c:pt>
                <c:pt idx="4">
                  <c:v>10.32</c:v>
                </c:pt>
                <c:pt idx="5">
                  <c:v>11.4</c:v>
                </c:pt>
                <c:pt idx="6">
                  <c:v>12.48</c:v>
                </c:pt>
                <c:pt idx="7">
                  <c:v>13.56</c:v>
                </c:pt>
                <c:pt idx="8">
                  <c:v>14.64</c:v>
                </c:pt>
                <c:pt idx="9">
                  <c:v>15.72</c:v>
                </c:pt>
                <c:pt idx="10">
                  <c:v>16.8</c:v>
                </c:pt>
                <c:pt idx="11">
                  <c:v>17.880000000000003</c:v>
                </c:pt>
                <c:pt idx="12">
                  <c:v>18.96</c:v>
                </c:pt>
                <c:pt idx="13">
                  <c:v>20.04</c:v>
                </c:pt>
                <c:pt idx="14">
                  <c:v>21.12</c:v>
                </c:pt>
                <c:pt idx="15">
                  <c:v>22.200000000000003</c:v>
                </c:pt>
                <c:pt idx="16">
                  <c:v>23.28</c:v>
                </c:pt>
                <c:pt idx="17">
                  <c:v>24.36</c:v>
                </c:pt>
                <c:pt idx="18">
                  <c:v>25.44</c:v>
                </c:pt>
                <c:pt idx="19">
                  <c:v>26.520000000000003</c:v>
                </c:pt>
                <c:pt idx="20">
                  <c:v>27.6</c:v>
                </c:pt>
                <c:pt idx="21">
                  <c:v>28.68</c:v>
                </c:pt>
                <c:pt idx="22">
                  <c:v>29.76</c:v>
                </c:pt>
                <c:pt idx="23">
                  <c:v>30.840000000000003</c:v>
                </c:pt>
                <c:pt idx="24">
                  <c:v>31.92</c:v>
                </c:pt>
                <c:pt idx="25">
                  <c:v>33</c:v>
                </c:pt>
                <c:pt idx="26">
                  <c:v>34.08</c:v>
                </c:pt>
                <c:pt idx="27">
                  <c:v>35.160000000000004</c:v>
                </c:pt>
                <c:pt idx="28">
                  <c:v>36.24</c:v>
                </c:pt>
                <c:pt idx="29">
                  <c:v>37.32</c:v>
                </c:pt>
                <c:pt idx="30">
                  <c:v>38.400000000000006</c:v>
                </c:pt>
                <c:pt idx="31">
                  <c:v>39.480000000000004</c:v>
                </c:pt>
                <c:pt idx="32">
                  <c:v>40.56</c:v>
                </c:pt>
                <c:pt idx="33">
                  <c:v>41.64</c:v>
                </c:pt>
                <c:pt idx="34">
                  <c:v>42.72</c:v>
                </c:pt>
                <c:pt idx="35">
                  <c:v>43.800000000000004</c:v>
                </c:pt>
                <c:pt idx="36">
                  <c:v>44.88</c:v>
                </c:pt>
                <c:pt idx="37">
                  <c:v>45.96</c:v>
                </c:pt>
                <c:pt idx="38">
                  <c:v>47.040000000000006</c:v>
                </c:pt>
                <c:pt idx="39">
                  <c:v>48.120000000000005</c:v>
                </c:pt>
                <c:pt idx="40">
                  <c:v>49.2</c:v>
                </c:pt>
                <c:pt idx="41">
                  <c:v>50.28</c:v>
                </c:pt>
                <c:pt idx="42">
                  <c:v>51.36</c:v>
                </c:pt>
                <c:pt idx="43">
                  <c:v>52.440000000000005</c:v>
                </c:pt>
                <c:pt idx="44">
                  <c:v>53.52</c:v>
                </c:pt>
                <c:pt idx="45">
                  <c:v>54.6</c:v>
                </c:pt>
                <c:pt idx="46">
                  <c:v>55.680000000000007</c:v>
                </c:pt>
                <c:pt idx="47">
                  <c:v>56.760000000000005</c:v>
                </c:pt>
                <c:pt idx="48">
                  <c:v>57.84</c:v>
                </c:pt>
                <c:pt idx="49">
                  <c:v>58.92</c:v>
                </c:pt>
                <c:pt idx="50">
                  <c:v>60</c:v>
                </c:pt>
              </c:numCache>
            </c:numRef>
          </c:xVal>
          <c:yVal>
            <c:numRef>
              <c:f>'Fly-Buck_Calc'!$T$4:$T$54</c:f>
              <c:numCache>
                <c:formatCode>General</c:formatCode>
                <c:ptCount val="51"/>
                <c:pt idx="0">
                  <c:v>-0.125</c:v>
                </c:pt>
                <c:pt idx="1">
                  <c:v>3.3898305084745783E-2</c:v>
                </c:pt>
                <c:pt idx="2">
                  <c:v>0.15073529411764708</c:v>
                </c:pt>
                <c:pt idx="3">
                  <c:v>0.24025974025974028</c:v>
                </c:pt>
                <c:pt idx="4">
                  <c:v>0.31104651162790697</c:v>
                </c:pt>
                <c:pt idx="5">
                  <c:v>0.36842105263157898</c:v>
                </c:pt>
                <c:pt idx="6">
                  <c:v>0.41586538461538464</c:v>
                </c:pt>
                <c:pt idx="7">
                  <c:v>0.45575221238938057</c:v>
                </c:pt>
                <c:pt idx="8">
                  <c:v>0.48975409836065575</c:v>
                </c:pt>
                <c:pt idx="9">
                  <c:v>0.51908396946564883</c:v>
                </c:pt>
                <c:pt idx="10">
                  <c:v>0.54464285714285721</c:v>
                </c:pt>
                <c:pt idx="11">
                  <c:v>0.56711409395973156</c:v>
                </c:pt>
                <c:pt idx="12">
                  <c:v>0.58702531645569622</c:v>
                </c:pt>
                <c:pt idx="13">
                  <c:v>0.60479041916167664</c:v>
                </c:pt>
                <c:pt idx="14">
                  <c:v>0.62073863636363635</c:v>
                </c:pt>
                <c:pt idx="15">
                  <c:v>0.6351351351351352</c:v>
                </c:pt>
                <c:pt idx="16">
                  <c:v>0.64819587628865982</c:v>
                </c:pt>
                <c:pt idx="17">
                  <c:v>0.66009852216748766</c:v>
                </c:pt>
                <c:pt idx="18">
                  <c:v>0.67099056603773588</c:v>
                </c:pt>
                <c:pt idx="19">
                  <c:v>0.6809954751131222</c:v>
                </c:pt>
                <c:pt idx="20">
                  <c:v>0.69021739130434789</c:v>
                </c:pt>
                <c:pt idx="21">
                  <c:v>0.69874476987447698</c:v>
                </c:pt>
                <c:pt idx="22">
                  <c:v>0.70665322580645162</c:v>
                </c:pt>
                <c:pt idx="23">
                  <c:v>0.71400778210116733</c:v>
                </c:pt>
                <c:pt idx="24">
                  <c:v>0.72086466165413532</c:v>
                </c:pt>
                <c:pt idx="25">
                  <c:v>0.72727272727272729</c:v>
                </c:pt>
                <c:pt idx="26">
                  <c:v>0.73327464788732399</c:v>
                </c:pt>
                <c:pt idx="27">
                  <c:v>0.73890784982935154</c:v>
                </c:pt>
                <c:pt idx="28">
                  <c:v>0.74420529801324509</c:v>
                </c:pt>
                <c:pt idx="29">
                  <c:v>0.74919614147909963</c:v>
                </c:pt>
                <c:pt idx="30">
                  <c:v>0.75390625</c:v>
                </c:pt>
                <c:pt idx="31">
                  <c:v>0.75835866261398177</c:v>
                </c:pt>
                <c:pt idx="32">
                  <c:v>0.76257396449704151</c:v>
                </c:pt>
                <c:pt idx="33">
                  <c:v>0.76657060518731979</c:v>
                </c:pt>
                <c:pt idx="34">
                  <c:v>0.7703651685393258</c:v>
                </c:pt>
                <c:pt idx="35">
                  <c:v>0.77397260273972601</c:v>
                </c:pt>
                <c:pt idx="36">
                  <c:v>0.77740641711229952</c:v>
                </c:pt>
                <c:pt idx="37">
                  <c:v>0.78067885117493474</c:v>
                </c:pt>
                <c:pt idx="38">
                  <c:v>0.78380102040816335</c:v>
                </c:pt>
                <c:pt idx="39">
                  <c:v>0.78678304239401498</c:v>
                </c:pt>
                <c:pt idx="40">
                  <c:v>0.78963414634146345</c:v>
                </c:pt>
                <c:pt idx="41">
                  <c:v>0.79236276849642007</c:v>
                </c:pt>
                <c:pt idx="42">
                  <c:v>0.79497663551401865</c:v>
                </c:pt>
                <c:pt idx="43">
                  <c:v>0.79748283752860405</c:v>
                </c:pt>
                <c:pt idx="44">
                  <c:v>0.79988789237668168</c:v>
                </c:pt>
                <c:pt idx="45">
                  <c:v>0.80219780219780223</c:v>
                </c:pt>
                <c:pt idx="46">
                  <c:v>0.80441810344827591</c:v>
                </c:pt>
                <c:pt idx="47">
                  <c:v>0.80655391120507403</c:v>
                </c:pt>
                <c:pt idx="48">
                  <c:v>0.80860995850622408</c:v>
                </c:pt>
                <c:pt idx="49">
                  <c:v>0.81059063136456211</c:v>
                </c:pt>
                <c:pt idx="50">
                  <c:v>0.8125</c:v>
                </c:pt>
              </c:numCache>
            </c:numRef>
          </c:yVal>
          <c:smooth val="1"/>
        </c:ser>
        <c:dLbls>
          <c:showLegendKey val="0"/>
          <c:showVal val="0"/>
          <c:showCatName val="0"/>
          <c:showSerName val="0"/>
          <c:showPercent val="0"/>
          <c:showBubbleSize val="0"/>
        </c:dLbls>
        <c:axId val="117086080"/>
        <c:axId val="117088256"/>
      </c:scatterChart>
      <c:valAx>
        <c:axId val="11708608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7088256"/>
        <c:crosses val="autoZero"/>
        <c:crossBetween val="midCat"/>
      </c:valAx>
      <c:valAx>
        <c:axId val="117088256"/>
        <c:scaling>
          <c:orientation val="minMax"/>
        </c:scaling>
        <c:delete val="0"/>
        <c:axPos val="l"/>
        <c:majorGridlines/>
        <c:title>
          <c:tx>
            <c:rich>
              <a:bodyPr rot="-5400000" vert="horz"/>
              <a:lstStyle/>
              <a:p>
                <a:pPr>
                  <a:defRPr/>
                </a:pPr>
                <a:r>
                  <a:rPr lang="en-US"/>
                  <a:t>Peak</a:t>
                </a:r>
                <a:r>
                  <a:rPr lang="en-US" baseline="0"/>
                  <a:t> Current (A)</a:t>
                </a:r>
                <a:endParaRPr lang="en-US"/>
              </a:p>
            </c:rich>
          </c:tx>
          <c:overlay val="0"/>
        </c:title>
        <c:numFmt formatCode="General" sourceLinked="0"/>
        <c:majorTickMark val="out"/>
        <c:minorTickMark val="none"/>
        <c:tickLblPos val="nextTo"/>
        <c:crossAx val="117086080"/>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18" Type="http://schemas.openxmlformats.org/officeDocument/2006/relationships/image" Target="../media/image11.png"/><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chart" Target="../charts/chart28.xml"/><Relationship Id="rId16" Type="http://schemas.openxmlformats.org/officeDocument/2006/relationships/chart" Target="../charts/chart42.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19" Type="http://schemas.openxmlformats.org/officeDocument/2006/relationships/image" Target="../media/image12.png"/><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18" Type="http://schemas.openxmlformats.org/officeDocument/2006/relationships/image" Target="../media/image11.png"/><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60.xml"/><Relationship Id="rId2" Type="http://schemas.openxmlformats.org/officeDocument/2006/relationships/chart" Target="../charts/chart45.xml"/><Relationship Id="rId16" Type="http://schemas.openxmlformats.org/officeDocument/2006/relationships/chart" Target="../charts/chart59.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8.xml"/><Relationship Id="rId10" Type="http://schemas.openxmlformats.org/officeDocument/2006/relationships/chart" Target="../charts/chart53.xml"/><Relationship Id="rId19" Type="http://schemas.openxmlformats.org/officeDocument/2006/relationships/image" Target="../media/image12.png"/><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180974</xdr:rowOff>
    </xdr:from>
    <xdr:to>
      <xdr:col>10</xdr:col>
      <xdr:colOff>76200</xdr:colOff>
      <xdr:row>14</xdr:row>
      <xdr:rowOff>161925</xdr:rowOff>
    </xdr:to>
    <xdr:sp macro="" textlink="">
      <xdr:nvSpPr>
        <xdr:cNvPr id="2" name="TextBox 1"/>
        <xdr:cNvSpPr txBox="1"/>
      </xdr:nvSpPr>
      <xdr:spPr>
        <a:xfrm>
          <a:off x="0" y="371474"/>
          <a:ext cx="6172200" cy="2457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purpose of this calculator</a:t>
          </a:r>
          <a:r>
            <a:rPr lang="en-US" sz="1100" baseline="0"/>
            <a:t> is to help determine which isolated topology and IC is correct for the chosen application. The flowing topologies are: </a:t>
          </a:r>
        </a:p>
        <a:p>
          <a:r>
            <a:rPr lang="en-US" sz="1100" baseline="0"/>
            <a:t>	1)Fly-Buck™ converter </a:t>
          </a:r>
        </a:p>
        <a:p>
          <a:r>
            <a:rPr lang="en-US" sz="1100" baseline="0"/>
            <a:t>	2)Fly-Buck-Boost converter</a:t>
          </a:r>
        </a:p>
        <a:p>
          <a:r>
            <a:rPr lang="en-US" sz="1100" baseline="0"/>
            <a:t>	3)Flyback converter</a:t>
          </a:r>
        </a:p>
        <a:p>
          <a:endParaRPr lang="en-US" sz="1100" baseline="0"/>
        </a:p>
        <a:p>
          <a:r>
            <a:rPr lang="en-US" sz="1100" baseline="0"/>
            <a:t>Start at the "Designs" tab to start the design by entering the general input and output parameters.</a:t>
          </a:r>
        </a:p>
        <a:p>
          <a:endParaRPr lang="en-US" sz="1100" baseline="0"/>
        </a:p>
        <a:p>
          <a:r>
            <a:rPr lang="en-US" sz="1100" baseline="0"/>
            <a:t>Next move to each of the topology design tabs, "Fly-Buck", "Fly-Buck-Boost",  "Flyback CCM", "Flyback DCM" to do a more in-depth analysis. In this step, ICs will also be suggested for the application.</a:t>
          </a:r>
        </a:p>
        <a:p>
          <a:endParaRPr lang="en-US" sz="1100" baseline="0"/>
        </a:p>
        <a:p>
          <a:r>
            <a:rPr lang="en-US" sz="1100" baseline="0"/>
            <a:t>Finally, return to the "Designs" tab to compare each of the designs with each other. See all the graphs under the "Designs Comparisons" header .</a:t>
          </a:r>
        </a:p>
        <a:p>
          <a:endParaRPr lang="en-US" sz="1100" baseline="0"/>
        </a:p>
        <a:p>
          <a:r>
            <a:rPr lang="en-US" sz="1100" baseline="0">
              <a:solidFill>
                <a:schemeClr val="bg1"/>
              </a:solidFill>
            </a:rPr>
            <a:t>The "Transformer" tab allows the user to achieve a high level transformer design for each topology. The transformer design should be looked at more in depth once a topology is decided. </a:t>
          </a:r>
        </a:p>
      </xdr:txBody>
    </xdr:sp>
    <xdr:clientData/>
  </xdr:twoCellAnchor>
  <xdr:twoCellAnchor editAs="oneCell">
    <xdr:from>
      <xdr:col>13</xdr:col>
      <xdr:colOff>57150</xdr:colOff>
      <xdr:row>2</xdr:row>
      <xdr:rowOff>0</xdr:rowOff>
    </xdr:from>
    <xdr:to>
      <xdr:col>19</xdr:col>
      <xdr:colOff>175993</xdr:colOff>
      <xdr:row>6</xdr:row>
      <xdr:rowOff>152400</xdr:rowOff>
    </xdr:to>
    <xdr:pic>
      <xdr:nvPicPr>
        <xdr:cNvPr id="3" name="Picture 2" descr="TI_Red_space"/>
        <xdr:cNvPicPr>
          <a:picLocks noChangeAspect="1"/>
        </xdr:cNvPicPr>
      </xdr:nvPicPr>
      <xdr:blipFill>
        <a:blip xmlns:r="http://schemas.openxmlformats.org/officeDocument/2006/relationships" r:embed="rId1"/>
        <a:srcRect/>
        <a:stretch>
          <a:fillRect/>
        </a:stretch>
      </xdr:blipFill>
      <xdr:spPr bwMode="auto">
        <a:xfrm>
          <a:off x="7981950" y="381000"/>
          <a:ext cx="3776443" cy="914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98</xdr:row>
      <xdr:rowOff>0</xdr:rowOff>
    </xdr:from>
    <xdr:to>
      <xdr:col>10</xdr:col>
      <xdr:colOff>413219</xdr:colOff>
      <xdr:row>112</xdr:row>
      <xdr:rowOff>28238</xdr:rowOff>
    </xdr:to>
    <xdr:pic>
      <xdr:nvPicPr>
        <xdr:cNvPr id="8" name="Picture 7"/>
        <xdr:cNvPicPr>
          <a:picLocks noChangeAspect="1"/>
        </xdr:cNvPicPr>
      </xdr:nvPicPr>
      <xdr:blipFill>
        <a:blip xmlns:r="http://schemas.openxmlformats.org/officeDocument/2006/relationships" r:embed="rId1"/>
        <a:stretch>
          <a:fillRect/>
        </a:stretch>
      </xdr:blipFill>
      <xdr:spPr>
        <a:xfrm>
          <a:off x="5838265" y="19487029"/>
          <a:ext cx="2228572" cy="26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571500</xdr:colOff>
      <xdr:row>28</xdr:row>
      <xdr:rowOff>188595</xdr:rowOff>
    </xdr:from>
    <xdr:to>
      <xdr:col>4</xdr:col>
      <xdr:colOff>434544</xdr:colOff>
      <xdr:row>41</xdr:row>
      <xdr:rowOff>17337</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0" y="6351270"/>
          <a:ext cx="2330019" cy="2305242"/>
        </a:xfrm>
        <a:prstGeom prst="rect">
          <a:avLst/>
        </a:prstGeom>
      </xdr:spPr>
    </xdr:pic>
    <xdr:clientData/>
  </xdr:twoCellAnchor>
  <xdr:twoCellAnchor editAs="oneCell">
    <xdr:from>
      <xdr:col>8</xdr:col>
      <xdr:colOff>603885</xdr:colOff>
      <xdr:row>28</xdr:row>
      <xdr:rowOff>177165</xdr:rowOff>
    </xdr:from>
    <xdr:to>
      <xdr:col>18</xdr:col>
      <xdr:colOff>429160</xdr:colOff>
      <xdr:row>41</xdr:row>
      <xdr:rowOff>70683</xdr:rowOff>
    </xdr:to>
    <xdr:pic>
      <xdr:nvPicPr>
        <xdr:cNvPr id="3" name="Picture 2"/>
        <xdr:cNvPicPr>
          <a:picLocks noChangeAspect="1"/>
        </xdr:cNvPicPr>
      </xdr:nvPicPr>
      <xdr:blipFill>
        <a:blip xmlns:r="http://schemas.openxmlformats.org/officeDocument/2006/relationships" r:embed="rId2"/>
        <a:stretch>
          <a:fillRect/>
        </a:stretch>
      </xdr:blipFill>
      <xdr:spPr>
        <a:xfrm>
          <a:off x="5633085" y="6339840"/>
          <a:ext cx="6130825" cy="23700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409575</xdr:colOff>
      <xdr:row>5</xdr:row>
      <xdr:rowOff>171450</xdr:rowOff>
    </xdr:from>
    <xdr:to>
      <xdr:col>10</xdr:col>
      <xdr:colOff>533400</xdr:colOff>
      <xdr:row>15</xdr:row>
      <xdr:rowOff>142875</xdr:rowOff>
    </xdr:to>
    <xdr:sp macro="" textlink="">
      <xdr:nvSpPr>
        <xdr:cNvPr id="2" name="TextBox 1"/>
        <xdr:cNvSpPr txBox="1"/>
      </xdr:nvSpPr>
      <xdr:spPr>
        <a:xfrm>
          <a:off x="1628775" y="112395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123825</xdr:colOff>
      <xdr:row>14</xdr:row>
      <xdr:rowOff>161925</xdr:rowOff>
    </xdr:to>
    <xdr:sp macro="" textlink="">
      <xdr:nvSpPr>
        <xdr:cNvPr id="2" name="TextBox 1"/>
        <xdr:cNvSpPr txBox="1"/>
      </xdr:nvSpPr>
      <xdr:spPr>
        <a:xfrm>
          <a:off x="1828800" y="9525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0</xdr:rowOff>
    </xdr:from>
    <xdr:to>
      <xdr:col>10</xdr:col>
      <xdr:colOff>123825</xdr:colOff>
      <xdr:row>13</xdr:row>
      <xdr:rowOff>161925</xdr:rowOff>
    </xdr:to>
    <xdr:sp macro="" textlink="">
      <xdr:nvSpPr>
        <xdr:cNvPr id="2" name="TextBox 1"/>
        <xdr:cNvSpPr txBox="1"/>
      </xdr:nvSpPr>
      <xdr:spPr>
        <a:xfrm>
          <a:off x="1219200" y="7620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838200</xdr:colOff>
      <xdr:row>4</xdr:row>
      <xdr:rowOff>104775</xdr:rowOff>
    </xdr:from>
    <xdr:to>
      <xdr:col>16</xdr:col>
      <xdr:colOff>376238</xdr:colOff>
      <xdr:row>27</xdr:row>
      <xdr:rowOff>161924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90</xdr:row>
      <xdr:rowOff>0</xdr:rowOff>
    </xdr:from>
    <xdr:to>
      <xdr:col>5</xdr:col>
      <xdr:colOff>66675</xdr:colOff>
      <xdr:row>104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695325</xdr:colOff>
      <xdr:row>111</xdr:row>
      <xdr:rowOff>25842</xdr:rowOff>
    </xdr:from>
    <xdr:to>
      <xdr:col>21</xdr:col>
      <xdr:colOff>600075</xdr:colOff>
      <xdr:row>125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647700</xdr:colOff>
      <xdr:row>90</xdr:row>
      <xdr:rowOff>9525</xdr:rowOff>
    </xdr:from>
    <xdr:to>
      <xdr:col>21</xdr:col>
      <xdr:colOff>552450</xdr:colOff>
      <xdr:row>104</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44891</xdr:rowOff>
    </xdr:from>
    <xdr:to>
      <xdr:col>5</xdr:col>
      <xdr:colOff>57150</xdr:colOff>
      <xdr:row>125</xdr:row>
      <xdr:rowOff>168716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133350</xdr:colOff>
      <xdr:row>90</xdr:row>
      <xdr:rowOff>9525</xdr:rowOff>
    </xdr:from>
    <xdr:to>
      <xdr:col>13</xdr:col>
      <xdr:colOff>581025</xdr:colOff>
      <xdr:row>104</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133350</xdr:colOff>
      <xdr:row>111</xdr:row>
      <xdr:rowOff>36046</xdr:rowOff>
    </xdr:from>
    <xdr:to>
      <xdr:col>13</xdr:col>
      <xdr:colOff>581025</xdr:colOff>
      <xdr:row>125</xdr:row>
      <xdr:rowOff>164634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190500</xdr:colOff>
          <xdr:row>15</xdr:row>
          <xdr:rowOff>57150</xdr:rowOff>
        </xdr:from>
        <xdr:to>
          <xdr:col>9</xdr:col>
          <xdr:colOff>723900</xdr:colOff>
          <xdr:row>28</xdr:row>
          <xdr:rowOff>190500</xdr:rowOff>
        </xdr:to>
        <xdr:sp macro="" textlink="">
          <xdr:nvSpPr>
            <xdr:cNvPr id="1088" name="Object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68580</xdr:rowOff>
        </xdr:from>
        <xdr:to>
          <xdr:col>16</xdr:col>
          <xdr:colOff>419100</xdr:colOff>
          <xdr:row>29</xdr:row>
          <xdr:rowOff>0</xdr:rowOff>
        </xdr:to>
        <xdr:sp macro="" textlink="">
          <xdr:nvSpPr>
            <xdr:cNvPr id="1089" name="Object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563880</xdr:colOff>
          <xdr:row>15</xdr:row>
          <xdr:rowOff>49530</xdr:rowOff>
        </xdr:from>
        <xdr:to>
          <xdr:col>23</xdr:col>
          <xdr:colOff>297180</xdr:colOff>
          <xdr:row>29</xdr:row>
          <xdr:rowOff>30480</xdr:rowOff>
        </xdr:to>
        <xdr:sp macro="" textlink="">
          <xdr:nvSpPr>
            <xdr:cNvPr id="1090" name="Object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297180</xdr:colOff>
          <xdr:row>30</xdr:row>
          <xdr:rowOff>0</xdr:rowOff>
        </xdr:from>
        <xdr:to>
          <xdr:col>7</xdr:col>
          <xdr:colOff>514350</xdr:colOff>
          <xdr:row>60</xdr:row>
          <xdr:rowOff>11430</xdr:rowOff>
        </xdr:to>
        <xdr:sp macro="" textlink="">
          <xdr:nvSpPr>
            <xdr:cNvPr id="1092" name="Object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xdr:twoCellAnchor>
    <xdr:from>
      <xdr:col>6</xdr:col>
      <xdr:colOff>32658</xdr:colOff>
      <xdr:row>73</xdr:row>
      <xdr:rowOff>185738</xdr:rowOff>
    </xdr:from>
    <xdr:to>
      <xdr:col>13</xdr:col>
      <xdr:colOff>23133</xdr:colOff>
      <xdr:row>84</xdr:row>
      <xdr:rowOff>28576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104</xdr:row>
      <xdr:rowOff>114300</xdr:rowOff>
    </xdr:from>
    <xdr:to>
      <xdr:col>5</xdr:col>
      <xdr:colOff>66675</xdr:colOff>
      <xdr:row>110</xdr:row>
      <xdr:rowOff>9525</xdr:rowOff>
    </xdr:to>
    <xdr:sp macro="" textlink="">
      <xdr:nvSpPr>
        <xdr:cNvPr id="7" name="TextBox 6"/>
        <xdr:cNvSpPr txBox="1"/>
      </xdr:nvSpPr>
      <xdr:spPr>
        <a:xfrm>
          <a:off x="9525" y="21193125"/>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selected</a:t>
          </a:r>
          <a:r>
            <a:rPr lang="en-US" sz="1100" baseline="0"/>
            <a:t> turns ratio (Secondary  to Primary) turns ratio for each topology. Note that both the CCM and DCM flyback topologies use the same turns ratio. The larger the ratio the more turns that will be needed in the transformer  increasing the size and copper losses. </a:t>
          </a:r>
          <a:endParaRPr lang="en-US" sz="1100"/>
        </a:p>
      </xdr:txBody>
    </xdr:sp>
    <xdr:clientData/>
  </xdr:twoCellAnchor>
  <xdr:twoCellAnchor>
    <xdr:from>
      <xdr:col>5</xdr:col>
      <xdr:colOff>133350</xdr:colOff>
      <xdr:row>104</xdr:row>
      <xdr:rowOff>123825</xdr:rowOff>
    </xdr:from>
    <xdr:to>
      <xdr:col>13</xdr:col>
      <xdr:colOff>581025</xdr:colOff>
      <xdr:row>110</xdr:row>
      <xdr:rowOff>19050</xdr:rowOff>
    </xdr:to>
    <xdr:sp macro="" textlink="">
      <xdr:nvSpPr>
        <xdr:cNvPr id="14" name="TextBox 13"/>
        <xdr:cNvSpPr txBox="1"/>
      </xdr:nvSpPr>
      <xdr:spPr>
        <a:xfrm>
          <a:off x="5248275" y="2120265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average</a:t>
          </a:r>
          <a:r>
            <a:rPr lang="en-US" sz="1100" baseline="0"/>
            <a:t> input current for full load across VIN. This will change with the amount of output power required.</a:t>
          </a:r>
          <a:endParaRPr lang="en-US" sz="1100"/>
        </a:p>
      </xdr:txBody>
    </xdr:sp>
    <xdr:clientData/>
  </xdr:twoCellAnchor>
  <xdr:twoCellAnchor>
    <xdr:from>
      <xdr:col>13</xdr:col>
      <xdr:colOff>647700</xdr:colOff>
      <xdr:row>104</xdr:row>
      <xdr:rowOff>142875</xdr:rowOff>
    </xdr:from>
    <xdr:to>
      <xdr:col>21</xdr:col>
      <xdr:colOff>561975</xdr:colOff>
      <xdr:row>110</xdr:row>
      <xdr:rowOff>38100</xdr:rowOff>
    </xdr:to>
    <xdr:sp macro="" textlink="">
      <xdr:nvSpPr>
        <xdr:cNvPr id="15" name="TextBox 14"/>
        <xdr:cNvSpPr txBox="1"/>
      </xdr:nvSpPr>
      <xdr:spPr>
        <a:xfrm>
          <a:off x="10487025" y="2122170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primary RMS current is a good indicator of the amount of losses that will happen in the transformer. The higher RMS current the more important the transformer design is to minimize losses.</a:t>
          </a:r>
          <a:endParaRPr lang="en-US" sz="1100"/>
        </a:p>
      </xdr:txBody>
    </xdr:sp>
    <xdr:clientData/>
  </xdr:twoCellAnchor>
  <xdr:twoCellAnchor>
    <xdr:from>
      <xdr:col>0</xdr:col>
      <xdr:colOff>0</xdr:colOff>
      <xdr:row>125</xdr:row>
      <xdr:rowOff>161925</xdr:rowOff>
    </xdr:from>
    <xdr:to>
      <xdr:col>5</xdr:col>
      <xdr:colOff>57150</xdr:colOff>
      <xdr:row>131</xdr:row>
      <xdr:rowOff>161925</xdr:rowOff>
    </xdr:to>
    <xdr:sp macro="" textlink="">
      <xdr:nvSpPr>
        <xdr:cNvPr id="16" name="TextBox 15"/>
        <xdr:cNvSpPr txBox="1"/>
      </xdr:nvSpPr>
      <xdr:spPr>
        <a:xfrm>
          <a:off x="0" y="25241250"/>
          <a:ext cx="51720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maximum duty cycle should be around 50%. This is helps with the Fly-Buck and Fly-Buck-Boost regulation. This allows for a better output regulation.  In the Flyback CCM operation at 50% and below the controller compensation becomes simpler because the right hand plan zero is a high frequency minimizes its effect on the circuit. Note the Flyback and Fly-Buck-Boost topologies follow the same duty cycle curve as a buck-boost, while the Fly-Buck follows a simple buck converter </a:t>
          </a:r>
          <a:endParaRPr lang="en-US" sz="1100"/>
        </a:p>
      </xdr:txBody>
    </xdr:sp>
    <xdr:clientData/>
  </xdr:twoCellAnchor>
  <xdr:twoCellAnchor>
    <xdr:from>
      <xdr:col>5</xdr:col>
      <xdr:colOff>123825</xdr:colOff>
      <xdr:row>125</xdr:row>
      <xdr:rowOff>161925</xdr:rowOff>
    </xdr:from>
    <xdr:to>
      <xdr:col>13</xdr:col>
      <xdr:colOff>571500</xdr:colOff>
      <xdr:row>131</xdr:row>
      <xdr:rowOff>152400</xdr:rowOff>
    </xdr:to>
    <xdr:sp macro="" textlink="">
      <xdr:nvSpPr>
        <xdr:cNvPr id="17" name="TextBox 16"/>
        <xdr:cNvSpPr txBox="1"/>
      </xdr:nvSpPr>
      <xdr:spPr>
        <a:xfrm>
          <a:off x="5238750" y="25241250"/>
          <a:ext cx="51720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Efficiency</a:t>
          </a:r>
          <a:r>
            <a:rPr lang="en-US" sz="1100" baseline="0"/>
            <a:t> is largely impacted by transformer design. In a Flyback the leakage inductance energy must be dissipated by a clamp circuit decreasing the efficiency as compared to the Fly-Buck and the Fly-Buck-Boost which don't need a clamp.</a:t>
          </a:r>
          <a:endParaRPr lang="en-US" sz="1100"/>
        </a:p>
      </xdr:txBody>
    </xdr:sp>
    <xdr:clientData/>
  </xdr:twoCellAnchor>
  <xdr:twoCellAnchor>
    <xdr:from>
      <xdr:col>13</xdr:col>
      <xdr:colOff>695325</xdr:colOff>
      <xdr:row>125</xdr:row>
      <xdr:rowOff>152400</xdr:rowOff>
    </xdr:from>
    <xdr:to>
      <xdr:col>22</xdr:col>
      <xdr:colOff>0</xdr:colOff>
      <xdr:row>131</xdr:row>
      <xdr:rowOff>161925</xdr:rowOff>
    </xdr:to>
    <xdr:sp macro="" textlink="">
      <xdr:nvSpPr>
        <xdr:cNvPr id="18" name="TextBox 17"/>
        <xdr:cNvSpPr txBox="1"/>
      </xdr:nvSpPr>
      <xdr:spPr>
        <a:xfrm>
          <a:off x="10534650" y="25231725"/>
          <a:ext cx="5172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peak primary current most be taken into account when designing any of the topologies. In the Fly-Buck and Fly-Buck-Boost special care must be taken to not operate in current limit of the regulators. The Flyback DCM has constant peak current across VIN because all energy is transferred from the primary to the secondary outputs. for the flyback topologies the peak current will be higher than this if leakage inductance is not minimized during the transformer design. Lowering turns ratio will decrease peak value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180975</xdr:rowOff>
    </xdr:from>
    <xdr:to>
      <xdr:col>6</xdr:col>
      <xdr:colOff>198664</xdr:colOff>
      <xdr:row>55</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332014</xdr:colOff>
      <xdr:row>40</xdr:row>
      <xdr:rowOff>172811</xdr:rowOff>
    </xdr:from>
    <xdr:to>
      <xdr:col>12</xdr:col>
      <xdr:colOff>381000</xdr:colOff>
      <xdr:row>55</xdr:row>
      <xdr:rowOff>58511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518432</xdr:colOff>
      <xdr:row>40</xdr:row>
      <xdr:rowOff>176892</xdr:rowOff>
    </xdr:from>
    <xdr:to>
      <xdr:col>21</xdr:col>
      <xdr:colOff>36739</xdr:colOff>
      <xdr:row>55</xdr:row>
      <xdr:rowOff>62592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489802</xdr:colOff>
      <xdr:row>63</xdr:row>
      <xdr:rowOff>4078</xdr:rowOff>
    </xdr:from>
    <xdr:to>
      <xdr:col>21</xdr:col>
      <xdr:colOff>8109</xdr:colOff>
      <xdr:row>77</xdr:row>
      <xdr:rowOff>80278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312910</xdr:colOff>
      <xdr:row>62</xdr:row>
      <xdr:rowOff>185053</xdr:rowOff>
    </xdr:from>
    <xdr:to>
      <xdr:col>12</xdr:col>
      <xdr:colOff>361896</xdr:colOff>
      <xdr:row>77</xdr:row>
      <xdr:rowOff>70753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600074</xdr:colOff>
      <xdr:row>94</xdr:row>
      <xdr:rowOff>185736</xdr:rowOff>
    </xdr:from>
    <xdr:to>
      <xdr:col>10</xdr:col>
      <xdr:colOff>495300</xdr:colOff>
      <xdr:row>113</xdr:row>
      <xdr:rowOff>9524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3</xdr:col>
          <xdr:colOff>590550</xdr:colOff>
          <xdr:row>11</xdr:row>
          <xdr:rowOff>171450</xdr:rowOff>
        </xdr:to>
        <xdr:sp macro="" textlink="">
          <xdr:nvSpPr>
            <xdr:cNvPr id="29706" name="Object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xdr:twoCellAnchor>
    <xdr:from>
      <xdr:col>9</xdr:col>
      <xdr:colOff>600075</xdr:colOff>
      <xdr:row>122</xdr:row>
      <xdr:rowOff>68916</xdr:rowOff>
    </xdr:from>
    <xdr:to>
      <xdr:col>16</xdr:col>
      <xdr:colOff>19050</xdr:colOff>
      <xdr:row>134</xdr:row>
      <xdr:rowOff>99172</xdr:rowOff>
    </xdr:to>
    <xdr:sp macro="" textlink="">
      <xdr:nvSpPr>
        <xdr:cNvPr id="9" name="TextBox 8"/>
        <xdr:cNvSpPr txBox="1"/>
      </xdr:nvSpPr>
      <xdr:spPr>
        <a:xfrm>
          <a:off x="7233957" y="23825387"/>
          <a:ext cx="4965887" cy="2349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therefore makes the modeling easier than if a current mode controller was used.</a:t>
          </a:r>
          <a:endParaRPr lang="en-US" sz="1200"/>
        </a:p>
      </xdr:txBody>
    </xdr:sp>
    <xdr:clientData/>
  </xdr:twoCellAnchor>
  <xdr:twoCellAnchor>
    <xdr:from>
      <xdr:col>3</xdr:col>
      <xdr:colOff>417819</xdr:colOff>
      <xdr:row>83</xdr:row>
      <xdr:rowOff>188019</xdr:rowOff>
    </xdr:from>
    <xdr:to>
      <xdr:col>10</xdr:col>
      <xdr:colOff>319847</xdr:colOff>
      <xdr:row>92</xdr:row>
      <xdr:rowOff>29176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220980</xdr:colOff>
          <xdr:row>122</xdr:row>
          <xdr:rowOff>0</xdr:rowOff>
        </xdr:from>
        <xdr:to>
          <xdr:col>9</xdr:col>
          <xdr:colOff>171450</xdr:colOff>
          <xdr:row>134</xdr:row>
          <xdr:rowOff>0</xdr:rowOff>
        </xdr:to>
        <xdr:sp macro="" textlink="">
          <xdr:nvSpPr>
            <xdr:cNvPr id="29708" name="Object 12" hidden="1">
              <a:extLst>
                <a:ext uri="{63B3BB69-23CF-44E3-9099-C40C66FF867C}">
                  <a14:compatExt spid="_x0000_s29708"/>
                </a:ext>
              </a:extLst>
            </xdr:cNvPr>
            <xdr:cNvSpPr/>
          </xdr:nvSpPr>
          <xdr:spPr>
            <a:xfrm>
              <a:off x="0" y="0"/>
              <a:ext cx="0" cy="0"/>
            </a:xfrm>
            <a:prstGeom prst="rect">
              <a:avLst/>
            </a:prstGeom>
          </xdr:spPr>
        </xdr:sp>
        <xdr:clientData/>
      </xdr:twoCellAnchor>
    </mc:Choice>
    <mc:Fallback/>
  </mc:AlternateContent>
  <xdr:twoCellAnchor>
    <xdr:from>
      <xdr:col>9</xdr:col>
      <xdr:colOff>1865220</xdr:colOff>
      <xdr:row>12</xdr:row>
      <xdr:rowOff>34178</xdr:rowOff>
    </xdr:from>
    <xdr:to>
      <xdr:col>19</xdr:col>
      <xdr:colOff>347383</xdr:colOff>
      <xdr:row>19</xdr:row>
      <xdr:rowOff>119903</xdr:rowOff>
    </xdr:to>
    <xdr:sp macro="" textlink="">
      <xdr:nvSpPr>
        <xdr:cNvPr id="10" name="TextBox 9"/>
        <xdr:cNvSpPr txBox="1"/>
      </xdr:nvSpPr>
      <xdr:spPr>
        <a:xfrm>
          <a:off x="8499102" y="2409825"/>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synchronous buck must be used. This is due to a possible negative current through the sync  FET during the off time at light load. If the negative current is not able to flow, the regulation of the secondary outputs  will be reduced.</a:t>
          </a:r>
        </a:p>
        <a:p>
          <a:pPr algn="l"/>
          <a:endParaRPr lang="en-US" sz="1200" baseline="0"/>
        </a:p>
      </xdr:txBody>
    </xdr:sp>
    <xdr:clientData/>
  </xdr:twoCellAnchor>
  <xdr:twoCellAnchor>
    <xdr:from>
      <xdr:col>0</xdr:col>
      <xdr:colOff>0</xdr:colOff>
      <xdr:row>63</xdr:row>
      <xdr:rowOff>0</xdr:rowOff>
    </xdr:from>
    <xdr:to>
      <xdr:col>6</xdr:col>
      <xdr:colOff>198664</xdr:colOff>
      <xdr:row>77</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55</xdr:row>
      <xdr:rowOff>68036</xdr:rowOff>
    </xdr:from>
    <xdr:to>
      <xdr:col>6</xdr:col>
      <xdr:colOff>198664</xdr:colOff>
      <xdr:row>60</xdr:row>
      <xdr:rowOff>29936</xdr:rowOff>
    </xdr:to>
    <xdr:sp macro="" textlink="">
      <xdr:nvSpPr>
        <xdr:cNvPr id="2" name="TextBox 1"/>
        <xdr:cNvSpPr txBox="1"/>
      </xdr:nvSpPr>
      <xdr:spPr>
        <a:xfrm>
          <a:off x="0" y="1077685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326571</xdr:colOff>
      <xdr:row>55</xdr:row>
      <xdr:rowOff>54429</xdr:rowOff>
    </xdr:from>
    <xdr:to>
      <xdr:col>12</xdr:col>
      <xdr:colOff>375557</xdr:colOff>
      <xdr:row>60</xdr:row>
      <xdr:rowOff>16329</xdr:rowOff>
    </xdr:to>
    <xdr:sp macro="" textlink="">
      <xdr:nvSpPr>
        <xdr:cNvPr id="15" name="TextBox 14"/>
        <xdr:cNvSpPr txBox="1"/>
      </xdr:nvSpPr>
      <xdr:spPr>
        <a:xfrm>
          <a:off x="5157107"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517071</xdr:colOff>
      <xdr:row>55</xdr:row>
      <xdr:rowOff>54429</xdr:rowOff>
    </xdr:from>
    <xdr:to>
      <xdr:col>21</xdr:col>
      <xdr:colOff>35378</xdr:colOff>
      <xdr:row>60</xdr:row>
      <xdr:rowOff>16329</xdr:rowOff>
    </xdr:to>
    <xdr:sp macro="" textlink="">
      <xdr:nvSpPr>
        <xdr:cNvPr id="16" name="TextBox 15"/>
        <xdr:cNvSpPr txBox="1"/>
      </xdr:nvSpPr>
      <xdr:spPr>
        <a:xfrm>
          <a:off x="10327821"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77</xdr:row>
      <xdr:rowOff>81643</xdr:rowOff>
    </xdr:from>
    <xdr:to>
      <xdr:col>6</xdr:col>
      <xdr:colOff>198664</xdr:colOff>
      <xdr:row>82</xdr:row>
      <xdr:rowOff>43543</xdr:rowOff>
    </xdr:to>
    <xdr:sp macro="" textlink="">
      <xdr:nvSpPr>
        <xdr:cNvPr id="17" name="TextBox 16"/>
        <xdr:cNvSpPr txBox="1"/>
      </xdr:nvSpPr>
      <xdr:spPr>
        <a:xfrm>
          <a:off x="0" y="1498146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312964</xdr:colOff>
      <xdr:row>77</xdr:row>
      <xdr:rowOff>68037</xdr:rowOff>
    </xdr:from>
    <xdr:to>
      <xdr:col>12</xdr:col>
      <xdr:colOff>361950</xdr:colOff>
      <xdr:row>82</xdr:row>
      <xdr:rowOff>29937</xdr:rowOff>
    </xdr:to>
    <xdr:sp macro="" textlink="">
      <xdr:nvSpPr>
        <xdr:cNvPr id="18" name="TextBox 17"/>
        <xdr:cNvSpPr txBox="1"/>
      </xdr:nvSpPr>
      <xdr:spPr>
        <a:xfrm>
          <a:off x="5143500"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489857</xdr:colOff>
      <xdr:row>77</xdr:row>
      <xdr:rowOff>68037</xdr:rowOff>
    </xdr:from>
    <xdr:to>
      <xdr:col>21</xdr:col>
      <xdr:colOff>8164</xdr:colOff>
      <xdr:row>82</xdr:row>
      <xdr:rowOff>29937</xdr:rowOff>
    </xdr:to>
    <xdr:sp macro="" textlink="">
      <xdr:nvSpPr>
        <xdr:cNvPr id="19" name="TextBox 18"/>
        <xdr:cNvSpPr txBox="1"/>
      </xdr:nvSpPr>
      <xdr:spPr>
        <a:xfrm>
          <a:off x="10300607"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sdaf</a:t>
          </a:r>
        </a:p>
      </xdr:txBody>
    </xdr:sp>
    <xdr:clientData/>
  </xdr:twoCellAnchor>
  <xdr:twoCellAnchor>
    <xdr:from>
      <xdr:col>3</xdr:col>
      <xdr:colOff>217714</xdr:colOff>
      <xdr:row>21</xdr:row>
      <xdr:rowOff>159202</xdr:rowOff>
    </xdr:from>
    <xdr:to>
      <xdr:col>9</xdr:col>
      <xdr:colOff>1823356</xdr:colOff>
      <xdr:row>37</xdr:row>
      <xdr:rowOff>27214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600075</xdr:colOff>
      <xdr:row>55</xdr:row>
      <xdr:rowOff>138112</xdr:rowOff>
    </xdr:from>
    <xdr:to>
      <xdr:col>20</xdr:col>
      <xdr:colOff>619125</xdr:colOff>
      <xdr:row>70</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4</xdr:col>
          <xdr:colOff>487680</xdr:colOff>
          <xdr:row>12</xdr:row>
          <xdr:rowOff>30480</xdr:rowOff>
        </xdr:to>
        <xdr:sp macro="" textlink="">
          <xdr:nvSpPr>
            <xdr:cNvPr id="32772" name="Object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xdr:twoCellAnchor>
    <xdr:from>
      <xdr:col>4</xdr:col>
      <xdr:colOff>0</xdr:colOff>
      <xdr:row>82</xdr:row>
      <xdr:rowOff>0</xdr:rowOff>
    </xdr:from>
    <xdr:to>
      <xdr:col>13</xdr:col>
      <xdr:colOff>0</xdr:colOff>
      <xdr:row>90</xdr:row>
      <xdr:rowOff>52388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91</xdr:row>
      <xdr:rowOff>0</xdr:rowOff>
    </xdr:from>
    <xdr:to>
      <xdr:col>12</xdr:col>
      <xdr:colOff>600076</xdr:colOff>
      <xdr:row>109</xdr:row>
      <xdr:rowOff>23813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40</xdr:row>
      <xdr:rowOff>0</xdr:rowOff>
    </xdr:from>
    <xdr:to>
      <xdr:col>6</xdr:col>
      <xdr:colOff>457200</xdr:colOff>
      <xdr:row>54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570139</xdr:colOff>
      <xdr:row>40</xdr:row>
      <xdr:rowOff>9525</xdr:rowOff>
    </xdr:from>
    <xdr:to>
      <xdr:col>15</xdr:col>
      <xdr:colOff>102053</xdr:colOff>
      <xdr:row>54</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255814</xdr:colOff>
      <xdr:row>40</xdr:row>
      <xdr:rowOff>27214</xdr:rowOff>
    </xdr:from>
    <xdr:to>
      <xdr:col>23</xdr:col>
      <xdr:colOff>386443</xdr:colOff>
      <xdr:row>54</xdr:row>
      <xdr:rowOff>103414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229907</xdr:colOff>
      <xdr:row>60</xdr:row>
      <xdr:rowOff>77560</xdr:rowOff>
    </xdr:from>
    <xdr:to>
      <xdr:col>23</xdr:col>
      <xdr:colOff>360536</xdr:colOff>
      <xdr:row>74</xdr:row>
      <xdr:rowOff>153760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571446</xdr:colOff>
      <xdr:row>60</xdr:row>
      <xdr:rowOff>68035</xdr:rowOff>
    </xdr:from>
    <xdr:to>
      <xdr:col>15</xdr:col>
      <xdr:colOff>103360</xdr:colOff>
      <xdr:row>74</xdr:row>
      <xdr:rowOff>144235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400050</xdr:colOff>
          <xdr:row>117</xdr:row>
          <xdr:rowOff>190500</xdr:rowOff>
        </xdr:from>
        <xdr:to>
          <xdr:col>8</xdr:col>
          <xdr:colOff>220980</xdr:colOff>
          <xdr:row>127</xdr:row>
          <xdr:rowOff>95250</xdr:rowOff>
        </xdr:to>
        <xdr:sp macro="" textlink="">
          <xdr:nvSpPr>
            <xdr:cNvPr id="32773" name="Object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xdr:twoCellAnchor>
    <xdr:from>
      <xdr:col>3</xdr:col>
      <xdr:colOff>231320</xdr:colOff>
      <xdr:row>22</xdr:row>
      <xdr:rowOff>163285</xdr:rowOff>
    </xdr:from>
    <xdr:to>
      <xdr:col>12</xdr:col>
      <xdr:colOff>13606</xdr:colOff>
      <xdr:row>38</xdr:row>
      <xdr:rowOff>31297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54</xdr:row>
      <xdr:rowOff>81642</xdr:rowOff>
    </xdr:from>
    <xdr:to>
      <xdr:col>6</xdr:col>
      <xdr:colOff>457200</xdr:colOff>
      <xdr:row>59</xdr:row>
      <xdr:rowOff>43542</xdr:rowOff>
    </xdr:to>
    <xdr:sp macro="" textlink="">
      <xdr:nvSpPr>
        <xdr:cNvPr id="14" name="TextBox 13"/>
        <xdr:cNvSpPr txBox="1"/>
      </xdr:nvSpPr>
      <xdr:spPr>
        <a:xfrm>
          <a:off x="0" y="1043667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54</xdr:row>
      <xdr:rowOff>68034</xdr:rowOff>
    </xdr:from>
    <xdr:to>
      <xdr:col>15</xdr:col>
      <xdr:colOff>103414</xdr:colOff>
      <xdr:row>59</xdr:row>
      <xdr:rowOff>29934</xdr:rowOff>
    </xdr:to>
    <xdr:sp macro="" textlink="">
      <xdr:nvSpPr>
        <xdr:cNvPr id="15" name="TextBox 14"/>
        <xdr:cNvSpPr txBox="1"/>
      </xdr:nvSpPr>
      <xdr:spPr>
        <a:xfrm>
          <a:off x="5143500" y="1042307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244928</xdr:colOff>
      <xdr:row>54</xdr:row>
      <xdr:rowOff>95248</xdr:rowOff>
    </xdr:from>
    <xdr:to>
      <xdr:col>23</xdr:col>
      <xdr:colOff>375557</xdr:colOff>
      <xdr:row>59</xdr:row>
      <xdr:rowOff>57148</xdr:rowOff>
    </xdr:to>
    <xdr:sp macro="" textlink="">
      <xdr:nvSpPr>
        <xdr:cNvPr id="16" name="TextBox 15"/>
        <xdr:cNvSpPr txBox="1"/>
      </xdr:nvSpPr>
      <xdr:spPr>
        <a:xfrm>
          <a:off x="10314214" y="1045028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60</xdr:row>
      <xdr:rowOff>54428</xdr:rowOff>
    </xdr:from>
    <xdr:to>
      <xdr:col>6</xdr:col>
      <xdr:colOff>457200</xdr:colOff>
      <xdr:row>74</xdr:row>
      <xdr:rowOff>130628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74</xdr:row>
      <xdr:rowOff>136071</xdr:rowOff>
    </xdr:from>
    <xdr:to>
      <xdr:col>6</xdr:col>
      <xdr:colOff>457200</xdr:colOff>
      <xdr:row>79</xdr:row>
      <xdr:rowOff>97971</xdr:rowOff>
    </xdr:to>
    <xdr:sp macro="" textlink="">
      <xdr:nvSpPr>
        <xdr:cNvPr id="18" name="TextBox 17"/>
        <xdr:cNvSpPr txBox="1"/>
      </xdr:nvSpPr>
      <xdr:spPr>
        <a:xfrm>
          <a:off x="0" y="1430110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74</xdr:row>
      <xdr:rowOff>149679</xdr:rowOff>
    </xdr:from>
    <xdr:to>
      <xdr:col>15</xdr:col>
      <xdr:colOff>103414</xdr:colOff>
      <xdr:row>79</xdr:row>
      <xdr:rowOff>111579</xdr:rowOff>
    </xdr:to>
    <xdr:sp macro="" textlink="">
      <xdr:nvSpPr>
        <xdr:cNvPr id="19" name="TextBox 18"/>
        <xdr:cNvSpPr txBox="1"/>
      </xdr:nvSpPr>
      <xdr:spPr>
        <a:xfrm>
          <a:off x="5143500"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231321</xdr:colOff>
      <xdr:row>74</xdr:row>
      <xdr:rowOff>149679</xdr:rowOff>
    </xdr:from>
    <xdr:to>
      <xdr:col>23</xdr:col>
      <xdr:colOff>361950</xdr:colOff>
      <xdr:row>79</xdr:row>
      <xdr:rowOff>111579</xdr:rowOff>
    </xdr:to>
    <xdr:sp macro="" textlink="">
      <xdr:nvSpPr>
        <xdr:cNvPr id="20" name="TextBox 19"/>
        <xdr:cNvSpPr txBox="1"/>
      </xdr:nvSpPr>
      <xdr:spPr>
        <a:xfrm>
          <a:off x="10300607"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0</xdr:colOff>
      <xdr:row>10</xdr:row>
      <xdr:rowOff>0</xdr:rowOff>
    </xdr:from>
    <xdr:to>
      <xdr:col>22</xdr:col>
      <xdr:colOff>398369</xdr:colOff>
      <xdr:row>18</xdr:row>
      <xdr:rowOff>74519</xdr:rowOff>
    </xdr:to>
    <xdr:sp macro="" textlink="">
      <xdr:nvSpPr>
        <xdr:cNvPr id="21" name="TextBox 20"/>
        <xdr:cNvSpPr txBox="1"/>
      </xdr:nvSpPr>
      <xdr:spPr>
        <a:xfrm>
          <a:off x="8785412" y="1994647"/>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synchronous buck must be used. This is due to a possible negative current through the sync  FET during the off time at light load. If the negative current is not able to flow, the regulation of the secondary outputs will be reduced.</a:t>
          </a:r>
          <a:endParaRPr lang="en-US" sz="1100"/>
        </a:p>
      </xdr:txBody>
    </xdr:sp>
    <xdr:clientData/>
  </xdr:twoCellAnchor>
  <xdr:twoCellAnchor>
    <xdr:from>
      <xdr:col>9</xdr:col>
      <xdr:colOff>11206</xdr:colOff>
      <xdr:row>117</xdr:row>
      <xdr:rowOff>168089</xdr:rowOff>
    </xdr:from>
    <xdr:to>
      <xdr:col>17</xdr:col>
      <xdr:colOff>136152</xdr:colOff>
      <xdr:row>130</xdr:row>
      <xdr:rowOff>52668</xdr:rowOff>
    </xdr:to>
    <xdr:sp macro="" textlink="">
      <xdr:nvSpPr>
        <xdr:cNvPr id="22" name="TextBox 21"/>
        <xdr:cNvSpPr txBox="1"/>
      </xdr:nvSpPr>
      <xdr:spPr>
        <a:xfrm>
          <a:off x="6376147" y="22624677"/>
          <a:ext cx="4965887" cy="24059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therefore makes the modeling easier than if a current mode controller was used.</a:t>
          </a:r>
          <a:endParaRPr lang="en-US" sz="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86</xdr:row>
      <xdr:rowOff>180974</xdr:rowOff>
    </xdr:from>
    <xdr:to>
      <xdr:col>5</xdr:col>
      <xdr:colOff>476250</xdr:colOff>
      <xdr:row>101</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9524</xdr:colOff>
      <xdr:row>86</xdr:row>
      <xdr:rowOff>180974</xdr:rowOff>
    </xdr:from>
    <xdr:to>
      <xdr:col>13</xdr:col>
      <xdr:colOff>345701</xdr:colOff>
      <xdr:row>101</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86</xdr:row>
      <xdr:rowOff>190499</xdr:rowOff>
    </xdr:from>
    <xdr:to>
      <xdr:col>21</xdr:col>
      <xdr:colOff>345701</xdr:colOff>
      <xdr:row>101</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201705</xdr:colOff>
      <xdr:row>179</xdr:row>
      <xdr:rowOff>146258</xdr:rowOff>
    </xdr:from>
    <xdr:to>
      <xdr:col>12</xdr:col>
      <xdr:colOff>86285</xdr:colOff>
      <xdr:row>194</xdr:row>
      <xdr:rowOff>15149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268941</xdr:colOff>
      <xdr:row>179</xdr:row>
      <xdr:rowOff>146258</xdr:rowOff>
    </xdr:from>
    <xdr:to>
      <xdr:col>21</xdr:col>
      <xdr:colOff>129428</xdr:colOff>
      <xdr:row>194</xdr:row>
      <xdr:rowOff>34199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212912</xdr:colOff>
      <xdr:row>209</xdr:row>
      <xdr:rowOff>80123</xdr:rowOff>
    </xdr:from>
    <xdr:to>
      <xdr:col>21</xdr:col>
      <xdr:colOff>73399</xdr:colOff>
      <xdr:row>225</xdr:row>
      <xdr:rowOff>61073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9524</xdr:colOff>
      <xdr:row>42</xdr:row>
      <xdr:rowOff>14286</xdr:rowOff>
    </xdr:from>
    <xdr:to>
      <xdr:col>6</xdr:col>
      <xdr:colOff>303438</xdr:colOff>
      <xdr:row>56</xdr:row>
      <xdr:rowOff>90486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444953</xdr:colOff>
      <xdr:row>42</xdr:row>
      <xdr:rowOff>13606</xdr:rowOff>
    </xdr:from>
    <xdr:to>
      <xdr:col>14</xdr:col>
      <xdr:colOff>575582</xdr:colOff>
      <xdr:row>56</xdr:row>
      <xdr:rowOff>89806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108856</xdr:colOff>
      <xdr:row>42</xdr:row>
      <xdr:rowOff>23131</xdr:rowOff>
    </xdr:from>
    <xdr:to>
      <xdr:col>23</xdr:col>
      <xdr:colOff>239485</xdr:colOff>
      <xdr:row>56</xdr:row>
      <xdr:rowOff>99331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299196</xdr:colOff>
      <xdr:row>179</xdr:row>
      <xdr:rowOff>146258</xdr:rowOff>
    </xdr:from>
    <xdr:to>
      <xdr:col>30</xdr:col>
      <xdr:colOff>235324</xdr:colOff>
      <xdr:row>194</xdr:row>
      <xdr:rowOff>34199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188820</xdr:colOff>
      <xdr:row>209</xdr:row>
      <xdr:rowOff>87967</xdr:rowOff>
    </xdr:from>
    <xdr:to>
      <xdr:col>30</xdr:col>
      <xdr:colOff>156882</xdr:colOff>
      <xdr:row>225</xdr:row>
      <xdr:rowOff>49867</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0</xdr:colOff>
      <xdr:row>109</xdr:row>
      <xdr:rowOff>4762</xdr:rowOff>
    </xdr:from>
    <xdr:to>
      <xdr:col>13</xdr:col>
      <xdr:colOff>304800</xdr:colOff>
      <xdr:row>123</xdr:row>
      <xdr:rowOff>152400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4</xdr:col>
          <xdr:colOff>190500</xdr:colOff>
          <xdr:row>12</xdr:row>
          <xdr:rowOff>30480</xdr:rowOff>
        </xdr:to>
        <xdr:sp macro="" textlink="">
          <xdr:nvSpPr>
            <xdr:cNvPr id="30744" name="Object 24" hidden="1">
              <a:extLst>
                <a:ext uri="{63B3BB69-23CF-44E3-9099-C40C66FF867C}">
                  <a14:compatExt spid="_x0000_s3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70</xdr:row>
          <xdr:rowOff>182880</xdr:rowOff>
        </xdr:from>
        <xdr:to>
          <xdr:col>10</xdr:col>
          <xdr:colOff>0</xdr:colOff>
          <xdr:row>85</xdr:row>
          <xdr:rowOff>95250</xdr:rowOff>
        </xdr:to>
        <xdr:sp macro="" textlink="">
          <xdr:nvSpPr>
            <xdr:cNvPr id="30748" name="Object 28" hidden="1">
              <a:extLst>
                <a:ext uri="{63B3BB69-23CF-44E3-9099-C40C66FF867C}">
                  <a14:compatExt spid="_x0000_s30748"/>
                </a:ext>
              </a:extLst>
            </xdr:cNvPr>
            <xdr:cNvSpPr/>
          </xdr:nvSpPr>
          <xdr:spPr>
            <a:xfrm>
              <a:off x="0" y="0"/>
              <a:ext cx="0" cy="0"/>
            </a:xfrm>
            <a:prstGeom prst="rect">
              <a:avLst/>
            </a:prstGeom>
          </xdr:spPr>
        </xdr:sp>
        <xdr:clientData/>
      </xdr:twoCellAnchor>
    </mc:Choice>
    <mc:Fallback/>
  </mc:AlternateContent>
  <xdr:twoCellAnchor>
    <xdr:from>
      <xdr:col>0</xdr:col>
      <xdr:colOff>0</xdr:colOff>
      <xdr:row>108</xdr:row>
      <xdr:rowOff>180975</xdr:rowOff>
    </xdr:from>
    <xdr:to>
      <xdr:col>5</xdr:col>
      <xdr:colOff>466725</xdr:colOff>
      <xdr:row>123</xdr:row>
      <xdr:rowOff>138113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134</xdr:row>
      <xdr:rowOff>176211</xdr:rowOff>
    </xdr:from>
    <xdr:to>
      <xdr:col>13</xdr:col>
      <xdr:colOff>0</xdr:colOff>
      <xdr:row>150</xdr:row>
      <xdr:rowOff>19050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609599</xdr:colOff>
      <xdr:row>124</xdr:row>
      <xdr:rowOff>195262</xdr:rowOff>
    </xdr:from>
    <xdr:to>
      <xdr:col>12</xdr:col>
      <xdr:colOff>600074</xdr:colOff>
      <xdr:row>133</xdr:row>
      <xdr:rowOff>38100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600073</xdr:colOff>
      <xdr:row>124</xdr:row>
      <xdr:rowOff>190499</xdr:rowOff>
    </xdr:from>
    <xdr:to>
      <xdr:col>22</xdr:col>
      <xdr:colOff>28574</xdr:colOff>
      <xdr:row>133</xdr:row>
      <xdr:rowOff>38099</xdr:rowOff>
    </xdr:to>
    <mc:AlternateContent xmlns:mc="http://schemas.openxmlformats.org/markup-compatibility/2006" xmlns:a14="http://schemas.microsoft.com/office/drawing/2010/main">
      <mc:Choice Requires="a14">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3</xdr:col>
      <xdr:colOff>95250</xdr:colOff>
      <xdr:row>23</xdr:row>
      <xdr:rowOff>149679</xdr:rowOff>
    </xdr:from>
    <xdr:to>
      <xdr:col>11</xdr:col>
      <xdr:colOff>498021</xdr:colOff>
      <xdr:row>40</xdr:row>
      <xdr:rowOff>34019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27214</xdr:colOff>
      <xdr:row>56</xdr:row>
      <xdr:rowOff>68036</xdr:rowOff>
    </xdr:from>
    <xdr:to>
      <xdr:col>6</xdr:col>
      <xdr:colOff>299357</xdr:colOff>
      <xdr:row>63</xdr:row>
      <xdr:rowOff>182218</xdr:rowOff>
    </xdr:to>
    <mc:AlternateContent xmlns:mc="http://schemas.openxmlformats.org/markup-compatibility/2006" xmlns:a14="http://schemas.microsoft.com/office/drawing/2010/main">
      <mc:Choice Requires="a14">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off a simple buck-boost converter with an added turns ratio term. It is also desirable to keep the duty cycle below 50% to ease controller compensation design by moving the right hand plane zero to higher frequencies. Also in current mode control, below 50% duty cycle and no slope compensation is needed to eliminate subharmonic oscillation. </a:t>
              </a:r>
            </a:p>
            <a:p>
              <a:pPr algn="ctr"/>
              <a14:m>
                <m:oMath xmlns:m="http://schemas.openxmlformats.org/officeDocument/2006/math">
                  <m:sSub>
                    <m:sSubPr>
                      <m:ctrlPr>
                        <a:rPr lang="en-US" sz="1100" i="1" baseline="0">
                          <a:latin typeface="Cambria Math"/>
                        </a:rPr>
                      </m:ctrlPr>
                    </m:sSubPr>
                    <m:e>
                      <m:r>
                        <a:rPr lang="en-US" sz="1100" b="0" i="1" baseline="0">
                          <a:latin typeface="Cambria Math"/>
                        </a:rPr>
                        <m:t>𝐷</m:t>
                      </m:r>
                    </m:e>
                    <m:sub>
                      <m:r>
                        <a:rPr lang="en-US" sz="1100" b="0" i="1" baseline="0">
                          <a:latin typeface="Cambria Math"/>
                        </a:rPr>
                        <m:t>𝑓𝑙𝑦𝑏𝑎𝑐𝑘</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𝑝𝑟𝑖𝑚𝑎𝑟𝑦</m:t>
                          </m:r>
                        </m:sub>
                      </m:sSub>
                      <m:r>
                        <a:rPr lang="en-US" sz="1100" b="0" i="1" baseline="0">
                          <a:latin typeface="Cambria Math"/>
                        </a:rPr>
                        <m:t>∗</m:t>
                      </m:r>
                      <m:d>
                        <m:dPr>
                          <m:ctrlPr>
                            <a:rPr lang="en-US" sz="1100" b="0" i="1" baseline="0">
                              <a:latin typeface="Cambria Math"/>
                            </a:rPr>
                          </m:ctrlPr>
                        </m:dPr>
                        <m:e>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e>
                      </m:d>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𝑠𝑒𝑐𝑜𝑛𝑑𝑎𝑟𝑦</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𝑖𝑛</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r>
                        <a:rPr lang="en-US" sz="1100" b="0" i="1" baseline="0">
                          <a:latin typeface="Cambria Math"/>
                        </a:rPr>
                        <m:t>)</m:t>
                      </m:r>
                    </m:den>
                  </m:f>
                </m:oMath>
              </a14:m>
              <a:r>
                <a:rPr lang="en-US" sz="1100" baseline="0"/>
                <a:t> </a:t>
              </a:r>
              <a:endParaRPr lang="en-US" sz="1100"/>
            </a:p>
          </xdr:txBody>
        </xdr:sp>
      </mc:Choice>
      <mc:Fallback xmlns="">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off a simple buck-boost converter with an added turns ratio term. It is also desirable to keep the duty cycle below 50% to ease controller compensation design by moving the right hand plane zero to higher frequencies. Also in current mode control, below 50% duty cycle and no slope compensation is needed to eliminate subharmonic oscillation. </a:t>
              </a:r>
            </a:p>
            <a:p>
              <a:pPr algn="ctr"/>
              <a:r>
                <a:rPr lang="en-US" sz="1100" b="0" i="0" baseline="0">
                  <a:latin typeface="Cambria Math"/>
                </a:rPr>
                <a:t>𝐷_𝑓𝑙𝑦𝑏𝑎𝑐𝑘=(𝑁_𝑝𝑟𝑖𝑚𝑎𝑟𝑦∗(𝑉_𝑜𝑢𝑡+𝑉_𝑑𝑖𝑜𝑑𝑒 ))/(𝑁_𝑠𝑒𝑐𝑜𝑛𝑑𝑎𝑟𝑦∗𝑉_𝑖𝑛+(𝑉_𝑜𝑢𝑡+𝑉_𝑑𝑖𝑜𝑑𝑒))</a:t>
              </a:r>
              <a:r>
                <a:rPr lang="en-US" sz="1100" baseline="0"/>
                <a:t> </a:t>
              </a:r>
              <a:endParaRPr lang="en-US" sz="1100"/>
            </a:p>
          </xdr:txBody>
        </xdr:sp>
      </mc:Fallback>
    </mc:AlternateContent>
    <xdr:clientData/>
  </xdr:twoCellAnchor>
  <xdr:twoCellAnchor>
    <xdr:from>
      <xdr:col>6</xdr:col>
      <xdr:colOff>447261</xdr:colOff>
      <xdr:row>56</xdr:row>
      <xdr:rowOff>68036</xdr:rowOff>
    </xdr:from>
    <xdr:to>
      <xdr:col>14</xdr:col>
      <xdr:colOff>579784</xdr:colOff>
      <xdr:row>63</xdr:row>
      <xdr:rowOff>182218</xdr:rowOff>
    </xdr:to>
    <xdr:sp macro="" textlink="">
      <xdr:nvSpPr>
        <xdr:cNvPr id="33" name="TextBox 32"/>
        <xdr:cNvSpPr txBox="1"/>
      </xdr:nvSpPr>
      <xdr:spPr>
        <a:xfrm>
          <a:off x="5176631" y="10711188"/>
          <a:ext cx="5035827"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peak current at full load vers</a:t>
          </a:r>
          <a:r>
            <a:rPr lang="en-US" sz="1100" baseline="0"/>
            <a:t>us Vine. The current limit must be set above this range. Compared to Flyback DCM operation, the peak current is much smaller. This is due to energy being stored in the core of the transformer decreasing the peak current needed to supply the loads.</a:t>
          </a:r>
          <a:endParaRPr lang="en-US" sz="1100"/>
        </a:p>
      </xdr:txBody>
    </xdr:sp>
    <xdr:clientData/>
  </xdr:twoCellAnchor>
  <xdr:twoCellAnchor>
    <xdr:from>
      <xdr:col>15</xdr:col>
      <xdr:colOff>115990</xdr:colOff>
      <xdr:row>56</xdr:row>
      <xdr:rowOff>84576</xdr:rowOff>
    </xdr:from>
    <xdr:to>
      <xdr:col>23</xdr:col>
      <xdr:colOff>248513</xdr:colOff>
      <xdr:row>63</xdr:row>
      <xdr:rowOff>190499</xdr:rowOff>
    </xdr:to>
    <xdr:sp macro="" textlink="">
      <xdr:nvSpPr>
        <xdr:cNvPr id="34" name="TextBox 33"/>
        <xdr:cNvSpPr txBox="1"/>
      </xdr:nvSpPr>
      <xdr:spPr>
        <a:xfrm>
          <a:off x="10361577" y="10727728"/>
          <a:ext cx="5035827" cy="1439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RMS</a:t>
          </a:r>
          <a:r>
            <a:rPr lang="en-US" sz="1100" baseline="0"/>
            <a:t> current at full load versus VIN. The RMS current is lower than that of DCM operation which generally yields better efficiency because power dissipation in the MOSFET and clamp circuit will be lower.</a:t>
          </a:r>
          <a:endParaRPr lang="en-US" sz="1100"/>
        </a:p>
      </xdr:txBody>
    </xdr:sp>
    <xdr:clientData/>
  </xdr:twoCellAnchor>
  <xdr:twoCellAnchor>
    <xdr:from>
      <xdr:col>0</xdr:col>
      <xdr:colOff>0</xdr:colOff>
      <xdr:row>101</xdr:row>
      <xdr:rowOff>134471</xdr:rowOff>
    </xdr:from>
    <xdr:to>
      <xdr:col>5</xdr:col>
      <xdr:colOff>470647</xdr:colOff>
      <xdr:row>106</xdr:row>
      <xdr:rowOff>96371</xdr:rowOff>
    </xdr:to>
    <xdr:sp macro="" textlink="">
      <xdr:nvSpPr>
        <xdr:cNvPr id="6" name="TextBox 5"/>
        <xdr:cNvSpPr txBox="1"/>
      </xdr:nvSpPr>
      <xdr:spPr>
        <a:xfrm>
          <a:off x="0" y="19498236"/>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11206</xdr:colOff>
      <xdr:row>101</xdr:row>
      <xdr:rowOff>145677</xdr:rowOff>
    </xdr:from>
    <xdr:to>
      <xdr:col>13</xdr:col>
      <xdr:colOff>347383</xdr:colOff>
      <xdr:row>106</xdr:row>
      <xdr:rowOff>107577</xdr:rowOff>
    </xdr:to>
    <xdr:sp macro="" textlink="">
      <xdr:nvSpPr>
        <xdr:cNvPr id="36" name="TextBox 35"/>
        <xdr:cNvSpPr txBox="1"/>
      </xdr:nvSpPr>
      <xdr:spPr>
        <a:xfrm>
          <a:off x="4717677"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11206</xdr:colOff>
      <xdr:row>101</xdr:row>
      <xdr:rowOff>145677</xdr:rowOff>
    </xdr:from>
    <xdr:to>
      <xdr:col>21</xdr:col>
      <xdr:colOff>347383</xdr:colOff>
      <xdr:row>106</xdr:row>
      <xdr:rowOff>107577</xdr:rowOff>
    </xdr:to>
    <xdr:sp macro="" textlink="">
      <xdr:nvSpPr>
        <xdr:cNvPr id="37" name="TextBox 36"/>
        <xdr:cNvSpPr txBox="1"/>
      </xdr:nvSpPr>
      <xdr:spPr>
        <a:xfrm>
          <a:off x="9558618"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224118</xdr:colOff>
      <xdr:row>209</xdr:row>
      <xdr:rowOff>67235</xdr:rowOff>
    </xdr:from>
    <xdr:to>
      <xdr:col>12</xdr:col>
      <xdr:colOff>108698</xdr:colOff>
      <xdr:row>225</xdr:row>
      <xdr:rowOff>36979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134470</xdr:colOff>
      <xdr:row>170</xdr:row>
      <xdr:rowOff>33617</xdr:rowOff>
    </xdr:from>
    <xdr:to>
      <xdr:col>9</xdr:col>
      <xdr:colOff>284816</xdr:colOff>
      <xdr:row>179</xdr:row>
      <xdr:rowOff>15512</xdr:rowOff>
    </xdr:to>
    <xdr:pic>
      <xdr:nvPicPr>
        <xdr:cNvPr id="38" name="Picture 3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25588" y="33371117"/>
          <a:ext cx="3781052" cy="1819660"/>
        </a:xfrm>
        <a:prstGeom prst="rect">
          <a:avLst/>
        </a:prstGeom>
      </xdr:spPr>
    </xdr:pic>
    <xdr:clientData/>
  </xdr:twoCellAnchor>
  <xdr:twoCellAnchor editAs="oneCell">
    <xdr:from>
      <xdr:col>3</xdr:col>
      <xdr:colOff>403411</xdr:colOff>
      <xdr:row>199</xdr:row>
      <xdr:rowOff>78441</xdr:rowOff>
    </xdr:from>
    <xdr:to>
      <xdr:col>8</xdr:col>
      <xdr:colOff>66164</xdr:colOff>
      <xdr:row>208</xdr:row>
      <xdr:rowOff>189428</xdr:rowOff>
    </xdr:to>
    <xdr:pic>
      <xdr:nvPicPr>
        <xdr:cNvPr id="39" name="Picture 3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294529" y="39455912"/>
          <a:ext cx="2688341" cy="1926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89</xdr:col>
      <xdr:colOff>495300</xdr:colOff>
      <xdr:row>54</xdr:row>
      <xdr:rowOff>57150</xdr:rowOff>
    </xdr:from>
    <xdr:to>
      <xdr:col>95</xdr:col>
      <xdr:colOff>370969</xdr:colOff>
      <xdr:row>58</xdr:row>
      <xdr:rowOff>38007</xdr:rowOff>
    </xdr:to>
    <xdr:pic>
      <xdr:nvPicPr>
        <xdr:cNvPr id="2" name="Picture 1"/>
        <xdr:cNvPicPr>
          <a:picLocks noChangeAspect="1"/>
        </xdr:cNvPicPr>
      </xdr:nvPicPr>
      <xdr:blipFill>
        <a:blip xmlns:r="http://schemas.openxmlformats.org/officeDocument/2006/relationships" r:embed="rId1"/>
        <a:stretch>
          <a:fillRect/>
        </a:stretch>
      </xdr:blipFill>
      <xdr:spPr>
        <a:xfrm>
          <a:off x="56140350" y="11144250"/>
          <a:ext cx="4047619" cy="742857"/>
        </a:xfrm>
        <a:prstGeom prst="rect">
          <a:avLst/>
        </a:prstGeom>
      </xdr:spPr>
    </xdr:pic>
    <xdr:clientData/>
  </xdr:twoCellAnchor>
  <xdr:twoCellAnchor editAs="oneCell">
    <xdr:from>
      <xdr:col>7</xdr:col>
      <xdr:colOff>0</xdr:colOff>
      <xdr:row>63</xdr:row>
      <xdr:rowOff>0</xdr:rowOff>
    </xdr:from>
    <xdr:to>
      <xdr:col>13</xdr:col>
      <xdr:colOff>380488</xdr:colOff>
      <xdr:row>67</xdr:row>
      <xdr:rowOff>57048</xdr:rowOff>
    </xdr:to>
    <xdr:pic>
      <xdr:nvPicPr>
        <xdr:cNvPr id="3" name="Picture 2"/>
        <xdr:cNvPicPr>
          <a:picLocks noChangeAspect="1"/>
        </xdr:cNvPicPr>
      </xdr:nvPicPr>
      <xdr:blipFill>
        <a:blip xmlns:r="http://schemas.openxmlformats.org/officeDocument/2006/relationships" r:embed="rId2"/>
        <a:stretch>
          <a:fillRect/>
        </a:stretch>
      </xdr:blipFill>
      <xdr:spPr>
        <a:xfrm>
          <a:off x="4867275" y="12801600"/>
          <a:ext cx="4095238" cy="819048"/>
        </a:xfrm>
        <a:prstGeom prst="rect">
          <a:avLst/>
        </a:prstGeom>
      </xdr:spPr>
    </xdr:pic>
    <xdr:clientData/>
  </xdr:twoCellAnchor>
  <xdr:twoCellAnchor editAs="oneCell">
    <xdr:from>
      <xdr:col>7</xdr:col>
      <xdr:colOff>209550</xdr:colOff>
      <xdr:row>67</xdr:row>
      <xdr:rowOff>142875</xdr:rowOff>
    </xdr:from>
    <xdr:to>
      <xdr:col>12</xdr:col>
      <xdr:colOff>561543</xdr:colOff>
      <xdr:row>71</xdr:row>
      <xdr:rowOff>85637</xdr:rowOff>
    </xdr:to>
    <xdr:pic>
      <xdr:nvPicPr>
        <xdr:cNvPr id="4" name="Picture 3"/>
        <xdr:cNvPicPr>
          <a:picLocks noChangeAspect="1"/>
        </xdr:cNvPicPr>
      </xdr:nvPicPr>
      <xdr:blipFill>
        <a:blip xmlns:r="http://schemas.openxmlformats.org/officeDocument/2006/relationships" r:embed="rId3"/>
        <a:stretch>
          <a:fillRect/>
        </a:stretch>
      </xdr:blipFill>
      <xdr:spPr>
        <a:xfrm>
          <a:off x="5076825" y="13706475"/>
          <a:ext cx="3457143" cy="7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134471</xdr:colOff>
      <xdr:row>180</xdr:row>
      <xdr:rowOff>58833</xdr:rowOff>
    </xdr:from>
    <xdr:to>
      <xdr:col>12</xdr:col>
      <xdr:colOff>276785</xdr:colOff>
      <xdr:row>193</xdr:row>
      <xdr:rowOff>188820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369796</xdr:colOff>
      <xdr:row>180</xdr:row>
      <xdr:rowOff>44824</xdr:rowOff>
    </xdr:from>
    <xdr:to>
      <xdr:col>21</xdr:col>
      <xdr:colOff>221878</xdr:colOff>
      <xdr:row>194</xdr:row>
      <xdr:rowOff>11206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403429</xdr:colOff>
      <xdr:row>206</xdr:row>
      <xdr:rowOff>124960</xdr:rowOff>
    </xdr:from>
    <xdr:to>
      <xdr:col>21</xdr:col>
      <xdr:colOff>245985</xdr:colOff>
      <xdr:row>222</xdr:row>
      <xdr:rowOff>91342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324972</xdr:colOff>
      <xdr:row>180</xdr:row>
      <xdr:rowOff>43143</xdr:rowOff>
    </xdr:from>
    <xdr:to>
      <xdr:col>30</xdr:col>
      <xdr:colOff>246530</xdr:colOff>
      <xdr:row>194</xdr:row>
      <xdr:rowOff>19050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334512</xdr:colOff>
      <xdr:row>206</xdr:row>
      <xdr:rowOff>136166</xdr:rowOff>
    </xdr:from>
    <xdr:to>
      <xdr:col>30</xdr:col>
      <xdr:colOff>336175</xdr:colOff>
      <xdr:row>222</xdr:row>
      <xdr:rowOff>93023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42</xdr:row>
      <xdr:rowOff>62463</xdr:rowOff>
    </xdr:from>
    <xdr:to>
      <xdr:col>5</xdr:col>
      <xdr:colOff>145676</xdr:colOff>
      <xdr:row>56</xdr:row>
      <xdr:rowOff>100563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380999</xdr:colOff>
      <xdr:row>42</xdr:row>
      <xdr:rowOff>48176</xdr:rowOff>
    </xdr:from>
    <xdr:to>
      <xdr:col>13</xdr:col>
      <xdr:colOff>112058</xdr:colOff>
      <xdr:row>56</xdr:row>
      <xdr:rowOff>86276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247649</xdr:colOff>
      <xdr:row>42</xdr:row>
      <xdr:rowOff>57701</xdr:rowOff>
    </xdr:from>
    <xdr:to>
      <xdr:col>20</xdr:col>
      <xdr:colOff>583826</xdr:colOff>
      <xdr:row>56</xdr:row>
      <xdr:rowOff>95801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84</xdr:row>
      <xdr:rowOff>180975</xdr:rowOff>
    </xdr:from>
    <xdr:to>
      <xdr:col>5</xdr:col>
      <xdr:colOff>145676</xdr:colOff>
      <xdr:row>99</xdr:row>
      <xdr:rowOff>66675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361949</xdr:colOff>
      <xdr:row>85</xdr:row>
      <xdr:rowOff>0</xdr:rowOff>
    </xdr:from>
    <xdr:to>
      <xdr:col>13</xdr:col>
      <xdr:colOff>93008</xdr:colOff>
      <xdr:row>99</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295274</xdr:colOff>
      <xdr:row>85</xdr:row>
      <xdr:rowOff>9526</xdr:rowOff>
    </xdr:from>
    <xdr:to>
      <xdr:col>21</xdr:col>
      <xdr:colOff>26333</xdr:colOff>
      <xdr:row>99</xdr:row>
      <xdr:rowOff>85726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352424</xdr:colOff>
      <xdr:row>106</xdr:row>
      <xdr:rowOff>4763</xdr:rowOff>
    </xdr:from>
    <xdr:to>
      <xdr:col>13</xdr:col>
      <xdr:colOff>83483</xdr:colOff>
      <xdr:row>120</xdr:row>
      <xdr:rowOff>80963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76200</xdr:rowOff>
        </xdr:from>
        <xdr:to>
          <xdr:col>3</xdr:col>
          <xdr:colOff>495300</xdr:colOff>
          <xdr:row>13</xdr:row>
          <xdr:rowOff>30480</xdr:rowOff>
        </xdr:to>
        <xdr:sp macro="" textlink="">
          <xdr:nvSpPr>
            <xdr:cNvPr id="40968" name="Object 8" hidden="1">
              <a:extLst>
                <a:ext uri="{63B3BB69-23CF-44E3-9099-C40C66FF867C}">
                  <a14:compatExt spid="_x0000_s4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xdr:colOff>
          <xdr:row>68</xdr:row>
          <xdr:rowOff>0</xdr:rowOff>
        </xdr:from>
        <xdr:to>
          <xdr:col>9</xdr:col>
          <xdr:colOff>571500</xdr:colOff>
          <xdr:row>82</xdr:row>
          <xdr:rowOff>114300</xdr:rowOff>
        </xdr:to>
        <xdr:sp macro="" textlink="">
          <xdr:nvSpPr>
            <xdr:cNvPr id="40969" name="Object 9" hidden="1">
              <a:extLst>
                <a:ext uri="{63B3BB69-23CF-44E3-9099-C40C66FF867C}">
                  <a14:compatExt spid="_x0000_s40969"/>
                </a:ext>
              </a:extLst>
            </xdr:cNvPr>
            <xdr:cNvSpPr/>
          </xdr:nvSpPr>
          <xdr:spPr>
            <a:xfrm>
              <a:off x="0" y="0"/>
              <a:ext cx="0" cy="0"/>
            </a:xfrm>
            <a:prstGeom prst="rect">
              <a:avLst/>
            </a:prstGeom>
          </xdr:spPr>
        </xdr:sp>
        <xdr:clientData/>
      </xdr:twoCellAnchor>
    </mc:Choice>
    <mc:Fallback/>
  </mc:AlternateContent>
  <xdr:twoCellAnchor>
    <xdr:from>
      <xdr:col>0</xdr:col>
      <xdr:colOff>0</xdr:colOff>
      <xdr:row>106</xdr:row>
      <xdr:rowOff>0</xdr:rowOff>
    </xdr:from>
    <xdr:to>
      <xdr:col>5</xdr:col>
      <xdr:colOff>145676</xdr:colOff>
      <xdr:row>120</xdr:row>
      <xdr:rowOff>76200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127</xdr:row>
      <xdr:rowOff>0</xdr:rowOff>
    </xdr:from>
    <xdr:to>
      <xdr:col>12</xdr:col>
      <xdr:colOff>571500</xdr:colOff>
      <xdr:row>135</xdr:row>
      <xdr:rowOff>42863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127</xdr:row>
      <xdr:rowOff>0</xdr:rowOff>
    </xdr:from>
    <xdr:to>
      <xdr:col>22</xdr:col>
      <xdr:colOff>38101</xdr:colOff>
      <xdr:row>135</xdr:row>
      <xdr:rowOff>47625</xdr:rowOff>
    </xdr:to>
    <mc:AlternateContent xmlns:mc="http://schemas.openxmlformats.org/markup-compatibility/2006" xmlns:a14="http://schemas.microsoft.com/office/drawing/2010/main">
      <mc:Choice Requires="a14">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4</xdr:col>
      <xdr:colOff>0</xdr:colOff>
      <xdr:row>136</xdr:row>
      <xdr:rowOff>0</xdr:rowOff>
    </xdr:from>
    <xdr:to>
      <xdr:col>12</xdr:col>
      <xdr:colOff>581025</xdr:colOff>
      <xdr:row>151</xdr:row>
      <xdr:rowOff>42864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190500</xdr:colOff>
      <xdr:row>24</xdr:row>
      <xdr:rowOff>145676</xdr:rowOff>
    </xdr:from>
    <xdr:to>
      <xdr:col>11</xdr:col>
      <xdr:colOff>564598</xdr:colOff>
      <xdr:row>41</xdr:row>
      <xdr:rowOff>16405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99</xdr:row>
      <xdr:rowOff>67232</xdr:rowOff>
    </xdr:from>
    <xdr:to>
      <xdr:col>5</xdr:col>
      <xdr:colOff>145676</xdr:colOff>
      <xdr:row>104</xdr:row>
      <xdr:rowOff>29132</xdr:rowOff>
    </xdr:to>
    <xdr:sp macro="" textlink="">
      <xdr:nvSpPr>
        <xdr:cNvPr id="27" name="TextBox 26"/>
        <xdr:cNvSpPr txBox="1"/>
      </xdr:nvSpPr>
      <xdr:spPr>
        <a:xfrm>
          <a:off x="0"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56</xdr:row>
      <xdr:rowOff>104215</xdr:rowOff>
    </xdr:from>
    <xdr:to>
      <xdr:col>5</xdr:col>
      <xdr:colOff>145676</xdr:colOff>
      <xdr:row>61</xdr:row>
      <xdr:rowOff>66115</xdr:rowOff>
    </xdr:to>
    <xdr:sp macro="" textlink="">
      <xdr:nvSpPr>
        <xdr:cNvPr id="28" name="TextBox 27"/>
        <xdr:cNvSpPr txBox="1"/>
      </xdr:nvSpPr>
      <xdr:spPr>
        <a:xfrm>
          <a:off x="0" y="1080583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381000</xdr:colOff>
      <xdr:row>56</xdr:row>
      <xdr:rowOff>81803</xdr:rowOff>
    </xdr:from>
    <xdr:to>
      <xdr:col>13</xdr:col>
      <xdr:colOff>112059</xdr:colOff>
      <xdr:row>61</xdr:row>
      <xdr:rowOff>43703</xdr:rowOff>
    </xdr:to>
    <xdr:sp macro="" textlink="">
      <xdr:nvSpPr>
        <xdr:cNvPr id="29" name="TextBox 28"/>
        <xdr:cNvSpPr txBox="1"/>
      </xdr:nvSpPr>
      <xdr:spPr>
        <a:xfrm>
          <a:off x="4807324"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246530</xdr:colOff>
      <xdr:row>56</xdr:row>
      <xdr:rowOff>81803</xdr:rowOff>
    </xdr:from>
    <xdr:to>
      <xdr:col>20</xdr:col>
      <xdr:colOff>582707</xdr:colOff>
      <xdr:row>61</xdr:row>
      <xdr:rowOff>43703</xdr:rowOff>
    </xdr:to>
    <xdr:sp macro="" textlink="">
      <xdr:nvSpPr>
        <xdr:cNvPr id="30" name="TextBox 29"/>
        <xdr:cNvSpPr txBox="1"/>
      </xdr:nvSpPr>
      <xdr:spPr>
        <a:xfrm>
          <a:off x="9513795"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358588</xdr:colOff>
      <xdr:row>99</xdr:row>
      <xdr:rowOff>67232</xdr:rowOff>
    </xdr:from>
    <xdr:to>
      <xdr:col>13</xdr:col>
      <xdr:colOff>89647</xdr:colOff>
      <xdr:row>104</xdr:row>
      <xdr:rowOff>29132</xdr:rowOff>
    </xdr:to>
    <xdr:sp macro="" textlink="">
      <xdr:nvSpPr>
        <xdr:cNvPr id="31" name="TextBox 30"/>
        <xdr:cNvSpPr txBox="1"/>
      </xdr:nvSpPr>
      <xdr:spPr>
        <a:xfrm>
          <a:off x="4784912"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291353</xdr:colOff>
      <xdr:row>99</xdr:row>
      <xdr:rowOff>67232</xdr:rowOff>
    </xdr:from>
    <xdr:to>
      <xdr:col>21</xdr:col>
      <xdr:colOff>22412</xdr:colOff>
      <xdr:row>104</xdr:row>
      <xdr:rowOff>29132</xdr:rowOff>
    </xdr:to>
    <xdr:sp macro="" textlink="">
      <xdr:nvSpPr>
        <xdr:cNvPr id="32" name="TextBox 31"/>
        <xdr:cNvSpPr txBox="1"/>
      </xdr:nvSpPr>
      <xdr:spPr>
        <a:xfrm>
          <a:off x="9558618"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120</xdr:row>
      <xdr:rowOff>56026</xdr:rowOff>
    </xdr:from>
    <xdr:to>
      <xdr:col>5</xdr:col>
      <xdr:colOff>145676</xdr:colOff>
      <xdr:row>125</xdr:row>
      <xdr:rowOff>17926</xdr:rowOff>
    </xdr:to>
    <xdr:sp macro="" textlink="">
      <xdr:nvSpPr>
        <xdr:cNvPr id="33" name="TextBox 32"/>
        <xdr:cNvSpPr txBox="1"/>
      </xdr:nvSpPr>
      <xdr:spPr>
        <a:xfrm>
          <a:off x="0"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347382</xdr:colOff>
      <xdr:row>120</xdr:row>
      <xdr:rowOff>56026</xdr:rowOff>
    </xdr:from>
    <xdr:to>
      <xdr:col>13</xdr:col>
      <xdr:colOff>78441</xdr:colOff>
      <xdr:row>125</xdr:row>
      <xdr:rowOff>17926</xdr:rowOff>
    </xdr:to>
    <xdr:sp macro="" textlink="">
      <xdr:nvSpPr>
        <xdr:cNvPr id="34" name="TextBox 33"/>
        <xdr:cNvSpPr txBox="1"/>
      </xdr:nvSpPr>
      <xdr:spPr>
        <a:xfrm>
          <a:off x="4773706"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168095</xdr:colOff>
      <xdr:row>206</xdr:row>
      <xdr:rowOff>145683</xdr:rowOff>
    </xdr:from>
    <xdr:to>
      <xdr:col>12</xdr:col>
      <xdr:colOff>310409</xdr:colOff>
      <xdr:row>222</xdr:row>
      <xdr:rowOff>107583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201706</xdr:colOff>
      <xdr:row>171</xdr:row>
      <xdr:rowOff>11205</xdr:rowOff>
    </xdr:from>
    <xdr:to>
      <xdr:col>9</xdr:col>
      <xdr:colOff>318435</xdr:colOff>
      <xdr:row>179</xdr:row>
      <xdr:rowOff>194806</xdr:rowOff>
    </xdr:to>
    <xdr:pic>
      <xdr:nvPicPr>
        <xdr:cNvPr id="14" name="Picture 1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84177" y="33561617"/>
          <a:ext cx="3781052" cy="1819660"/>
        </a:xfrm>
        <a:prstGeom prst="rect">
          <a:avLst/>
        </a:prstGeom>
      </xdr:spPr>
    </xdr:pic>
    <xdr:clientData/>
  </xdr:twoCellAnchor>
  <xdr:twoCellAnchor editAs="oneCell">
    <xdr:from>
      <xdr:col>3</xdr:col>
      <xdr:colOff>268941</xdr:colOff>
      <xdr:row>196</xdr:row>
      <xdr:rowOff>112059</xdr:rowOff>
    </xdr:from>
    <xdr:to>
      <xdr:col>7</xdr:col>
      <xdr:colOff>503194</xdr:colOff>
      <xdr:row>206</xdr:row>
      <xdr:rowOff>32546</xdr:rowOff>
    </xdr:to>
    <xdr:pic>
      <xdr:nvPicPr>
        <xdr:cNvPr id="15" name="Picture 1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451412" y="38929235"/>
          <a:ext cx="2688341" cy="1926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443865</xdr:colOff>
      <xdr:row>77</xdr:row>
      <xdr:rowOff>144780</xdr:rowOff>
    </xdr:from>
    <xdr:to>
      <xdr:col>29</xdr:col>
      <xdr:colOff>398145</xdr:colOff>
      <xdr:row>87</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495300</xdr:colOff>
      <xdr:row>66</xdr:row>
      <xdr:rowOff>80010</xdr:rowOff>
    </xdr:from>
    <xdr:to>
      <xdr:col>21</xdr:col>
      <xdr:colOff>85725</xdr:colOff>
      <xdr:row>77</xdr:row>
      <xdr:rowOff>139065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558165</xdr:colOff>
      <xdr:row>66</xdr:row>
      <xdr:rowOff>146685</xdr:rowOff>
    </xdr:from>
    <xdr:to>
      <xdr:col>29</xdr:col>
      <xdr:colOff>520065</xdr:colOff>
      <xdr:row>77</xdr:row>
      <xdr:rowOff>15240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510540</xdr:colOff>
      <xdr:row>56</xdr:row>
      <xdr:rowOff>173355</xdr:rowOff>
    </xdr:from>
    <xdr:to>
      <xdr:col>29</xdr:col>
      <xdr:colOff>468630</xdr:colOff>
      <xdr:row>66</xdr:row>
      <xdr:rowOff>24765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504825</xdr:colOff>
      <xdr:row>56</xdr:row>
      <xdr:rowOff>142875</xdr:rowOff>
    </xdr:from>
    <xdr:to>
      <xdr:col>21</xdr:col>
      <xdr:colOff>293370</xdr:colOff>
      <xdr:row>65</xdr:row>
      <xdr:rowOff>184785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571500</xdr:colOff>
      <xdr:row>78</xdr:row>
      <xdr:rowOff>109537</xdr:rowOff>
    </xdr:from>
    <xdr:to>
      <xdr:col>19</xdr:col>
      <xdr:colOff>504825</xdr:colOff>
      <xdr:row>92</xdr:row>
      <xdr:rowOff>185737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412693/AppData/Local/Microsoft/Windows/Temporary%20Internet%20Files/Content.Outlook/U6T4HOEW/Reference_Material/Fly-Buck/FLY_BUCK_Max_Output_Pow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jay Max"/>
      <sheetName val="Sheet1"/>
      <sheetName val="Sheet2"/>
      <sheetName val="Sheet3"/>
      <sheetName val="Sheet4"/>
    </sheetNames>
    <sheetDataSet>
      <sheetData sheetId="0">
        <row r="4">
          <cell r="D4">
            <v>0.5</v>
          </cell>
        </row>
        <row r="5">
          <cell r="D5">
            <v>12</v>
          </cell>
        </row>
      </sheetData>
      <sheetData sheetId="1">
        <row r="4">
          <cell r="E4">
            <v>0.3</v>
          </cell>
        </row>
        <row r="5">
          <cell r="E5">
            <v>0.5</v>
          </cell>
        </row>
      </sheetData>
      <sheetData sheetId="2"/>
      <sheetData sheetId="3">
        <row r="3">
          <cell r="L3">
            <v>9</v>
          </cell>
          <cell r="O3">
            <v>15</v>
          </cell>
          <cell r="R3">
            <v>1.5</v>
          </cell>
        </row>
        <row r="4">
          <cell r="L4">
            <v>36</v>
          </cell>
          <cell r="O4">
            <v>15</v>
          </cell>
          <cell r="R4">
            <v>0.6</v>
          </cell>
        </row>
        <row r="5">
          <cell r="L5">
            <v>0.9</v>
          </cell>
          <cell r="O5">
            <v>0.5</v>
          </cell>
        </row>
        <row r="7">
          <cell r="A7">
            <v>1.35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3.xml"/><Relationship Id="rId7" Type="http://schemas.openxmlformats.org/officeDocument/2006/relationships/oleObject" Target="../embeddings/oleObject6.bin"/><Relationship Id="rId2" Type="http://schemas.openxmlformats.org/officeDocument/2006/relationships/printerSettings" Target="../printerSettings/printerSettings2.bin"/><Relationship Id="rId1" Type="http://schemas.openxmlformats.org/officeDocument/2006/relationships/hyperlink" Target="https://e2e.ti.com/blogs_/b/powerhouse/archive/2014/07/24/when-is-fly-buck-the-right-choice-for-your-isolated-power-needs" TargetMode="External"/><Relationship Id="rId6" Type="http://schemas.openxmlformats.org/officeDocument/2006/relationships/image" Target="../media/image6.emf"/><Relationship Id="rId5" Type="http://schemas.openxmlformats.org/officeDocument/2006/relationships/oleObject" Target="../embeddings/oleObject5.bin"/><Relationship Id="rId4" Type="http://schemas.openxmlformats.org/officeDocument/2006/relationships/vmlDrawing" Target="../drawings/vmlDrawing2.v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xml"/><Relationship Id="rId7" Type="http://schemas.openxmlformats.org/officeDocument/2006/relationships/oleObject" Target="../embeddings/oleObject8.bin"/><Relationship Id="rId2" Type="http://schemas.openxmlformats.org/officeDocument/2006/relationships/printerSettings" Target="../printerSettings/printerSettings4.bin"/><Relationship Id="rId1" Type="http://schemas.openxmlformats.org/officeDocument/2006/relationships/hyperlink" Target="https://e2e.ti.com/blogs_/b/powerhouse/archive/2014/11/08/should-you-use-buck-or-inverting-topology-for-fly-buck" TargetMode="External"/><Relationship Id="rId6" Type="http://schemas.openxmlformats.org/officeDocument/2006/relationships/image" Target="../media/image8.emf"/><Relationship Id="rId5" Type="http://schemas.openxmlformats.org/officeDocument/2006/relationships/oleObject" Target="../embeddings/oleObject7.bin"/><Relationship Id="rId4" Type="http://schemas.openxmlformats.org/officeDocument/2006/relationships/vmlDrawing" Target="../drawings/vmlDrawing4.vm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image" Target="../media/image10.emf"/><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oleObject" Target="../embeddings/oleObject12.bin"/><Relationship Id="rId5" Type="http://schemas.openxmlformats.org/officeDocument/2006/relationships/image" Target="../media/image9.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M31" sqref="M31"/>
    </sheetView>
  </sheetViews>
  <sheetFormatPr defaultColWidth="9.15625" defaultRowHeight="14.4" x14ac:dyDescent="0.55000000000000004"/>
  <cols>
    <col min="1" max="16384" width="9.15625" style="274"/>
  </cols>
  <sheetData>
    <row r="1" spans="1:1" s="455" customFormat="1" x14ac:dyDescent="0.55000000000000004">
      <c r="A1" s="455" t="s">
        <v>461</v>
      </c>
    </row>
    <row r="2" spans="1:1" s="455" customFormat="1" x14ac:dyDescent="0.55000000000000004"/>
    <row r="30" spans="12:12" ht="15" x14ac:dyDescent="0.25">
      <c r="L30" s="424"/>
    </row>
  </sheetData>
  <sheetProtection password="E1A4" sheet="1" objects="1" scenarios="1"/>
  <mergeCells count="1">
    <mergeCell ref="A1:XFD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O138"/>
  <sheetViews>
    <sheetView topLeftCell="A101" zoomScale="85" zoomScaleNormal="85" workbookViewId="0">
      <selection activeCell="F138" sqref="F138"/>
    </sheetView>
  </sheetViews>
  <sheetFormatPr defaultRowHeight="14.4" x14ac:dyDescent="0.55000000000000004"/>
  <cols>
    <col min="1" max="1" width="26" bestFit="1" customWidth="1"/>
    <col min="2" max="2" width="14" customWidth="1"/>
    <col min="3" max="3" width="3.83984375" customWidth="1"/>
    <col min="4" max="4" width="12" bestFit="1" customWidth="1"/>
    <col min="7" max="7" width="13.578125" customWidth="1"/>
    <col min="14" max="14" width="9.26171875" bestFit="1" customWidth="1"/>
    <col min="15" max="15" width="11.68359375" customWidth="1"/>
    <col min="18" max="18" width="9.26171875" style="15" customWidth="1"/>
    <col min="21" max="21" width="9.26171875" style="15" bestFit="1" customWidth="1"/>
    <col min="22" max="23" width="9.26171875" bestFit="1" customWidth="1"/>
    <col min="24" max="24" width="9.26171875" customWidth="1"/>
    <col min="25" max="25" width="9.26171875" style="15" bestFit="1" customWidth="1"/>
    <col min="26" max="26" width="9.26171875" style="15" customWidth="1"/>
    <col min="27" max="28" width="9.26171875" customWidth="1"/>
    <col min="29" max="29" width="9.26171875" style="15" bestFit="1" customWidth="1"/>
    <col min="30" max="30" width="9.26171875" bestFit="1" customWidth="1"/>
    <col min="31" max="31" width="9.578125" bestFit="1" customWidth="1"/>
    <col min="32" max="32" width="9.578125" customWidth="1"/>
    <col min="33" max="33" width="9.26171875" style="15" bestFit="1" customWidth="1"/>
    <col min="34" max="34" width="9.26171875" style="15" customWidth="1"/>
    <col min="35" max="36" width="9.26171875" customWidth="1"/>
    <col min="37" max="37" width="9.26171875" style="15" bestFit="1" customWidth="1"/>
    <col min="38" max="38" width="9.26171875" bestFit="1" customWidth="1"/>
    <col min="39" max="39" width="9.578125" bestFit="1" customWidth="1"/>
    <col min="40" max="40" width="9.578125" customWidth="1"/>
    <col min="41" max="41" width="9.26171875" style="15" bestFit="1" customWidth="1"/>
    <col min="42" max="43" width="9.26171875" style="15" customWidth="1"/>
    <col min="44" max="48" width="9.26171875" customWidth="1"/>
    <col min="49" max="49" width="9.26171875" style="15" customWidth="1"/>
    <col min="54" max="54" width="12.578125" bestFit="1" customWidth="1"/>
    <col min="56" max="56" width="12.578125" bestFit="1" customWidth="1"/>
    <col min="72" max="72" width="12" bestFit="1" customWidth="1"/>
    <col min="75" max="75" width="9.41796875" customWidth="1"/>
    <col min="86" max="86" width="9.578125" customWidth="1"/>
    <col min="98" max="98" width="10" customWidth="1"/>
    <col min="100" max="100" width="14.41796875" customWidth="1"/>
    <col min="103" max="103" width="9.578125" customWidth="1"/>
    <col min="108" max="108" width="8.578125" customWidth="1"/>
  </cols>
  <sheetData>
    <row r="1" spans="1:119" ht="15.75" thickBot="1" x14ac:dyDescent="0.3">
      <c r="L1" s="11" t="s">
        <v>72</v>
      </c>
      <c r="M1" s="11"/>
      <c r="N1" s="13"/>
      <c r="O1" s="13"/>
      <c r="P1" s="13"/>
      <c r="Q1" s="13"/>
      <c r="S1" s="15">
        <v>2</v>
      </c>
      <c r="T1" s="15">
        <v>3</v>
      </c>
      <c r="U1" s="15">
        <v>4</v>
      </c>
      <c r="V1" s="15">
        <v>5</v>
      </c>
      <c r="W1" s="15">
        <v>6</v>
      </c>
      <c r="X1" s="15">
        <v>7</v>
      </c>
      <c r="Y1" s="15">
        <v>8</v>
      </c>
      <c r="Z1" s="15">
        <v>9</v>
      </c>
      <c r="AA1" s="15">
        <v>10</v>
      </c>
      <c r="AB1" s="15">
        <v>11</v>
      </c>
      <c r="AC1" s="15">
        <v>12</v>
      </c>
      <c r="AD1" s="15">
        <v>13</v>
      </c>
      <c r="AE1" s="15">
        <v>14</v>
      </c>
      <c r="AF1" s="15">
        <v>15</v>
      </c>
      <c r="AG1" s="15">
        <v>16</v>
      </c>
      <c r="AH1" s="15">
        <v>17</v>
      </c>
      <c r="AI1" s="15">
        <v>18</v>
      </c>
      <c r="AJ1" s="15">
        <v>19</v>
      </c>
      <c r="AK1" s="15">
        <v>20</v>
      </c>
      <c r="AL1" s="15">
        <v>21</v>
      </c>
      <c r="AM1" s="15">
        <v>22</v>
      </c>
      <c r="AN1" s="15">
        <v>23</v>
      </c>
      <c r="AO1" s="15">
        <v>24</v>
      </c>
      <c r="AP1" s="15">
        <v>25</v>
      </c>
      <c r="AQ1" s="15">
        <v>26</v>
      </c>
      <c r="AR1" s="15">
        <v>27</v>
      </c>
      <c r="AS1" s="15">
        <v>28</v>
      </c>
      <c r="AT1" s="15">
        <v>29</v>
      </c>
      <c r="AU1" s="15">
        <v>30</v>
      </c>
      <c r="AV1" s="15">
        <v>31</v>
      </c>
    </row>
    <row r="2" spans="1:119" ht="15.75" thickBot="1" x14ac:dyDescent="0.3">
      <c r="Q2" s="13" t="s">
        <v>74</v>
      </c>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X2" s="71" t="s">
        <v>216</v>
      </c>
      <c r="AY2" s="71"/>
      <c r="AZ2" s="71"/>
      <c r="BA2" s="71"/>
      <c r="BB2" s="553" t="s">
        <v>214</v>
      </c>
      <c r="BC2" s="554"/>
      <c r="BD2" s="553" t="s">
        <v>265</v>
      </c>
      <c r="BE2" s="569"/>
      <c r="BF2" s="134"/>
      <c r="BG2" s="135"/>
      <c r="BI2" t="s">
        <v>371</v>
      </c>
      <c r="CZ2" t="s">
        <v>442</v>
      </c>
      <c r="DF2" s="518" t="s">
        <v>670</v>
      </c>
      <c r="DG2" s="552"/>
      <c r="DH2" s="518" t="s">
        <v>764</v>
      </c>
      <c r="DI2" s="552"/>
      <c r="DJ2" s="518" t="s">
        <v>524</v>
      </c>
      <c r="DK2" s="552"/>
      <c r="DL2" s="518" t="s">
        <v>767</v>
      </c>
      <c r="DM2" s="552"/>
      <c r="DN2" s="518" t="s">
        <v>768</v>
      </c>
      <c r="DO2" s="552"/>
    </row>
    <row r="3" spans="1:119" s="14" customFormat="1" ht="75.75" thickBot="1" x14ac:dyDescent="0.3">
      <c r="K3" s="14" t="s">
        <v>28</v>
      </c>
      <c r="L3" s="66" t="s">
        <v>29</v>
      </c>
      <c r="M3" s="67" t="s">
        <v>225</v>
      </c>
      <c r="N3" s="68" t="s">
        <v>66</v>
      </c>
      <c r="O3" s="56" t="s">
        <v>67</v>
      </c>
      <c r="P3" s="57" t="s">
        <v>88</v>
      </c>
      <c r="Q3" s="57" t="s">
        <v>73</v>
      </c>
      <c r="R3" s="109" t="s">
        <v>140</v>
      </c>
      <c r="S3" s="90" t="s">
        <v>119</v>
      </c>
      <c r="T3" s="57" t="s">
        <v>370</v>
      </c>
      <c r="U3" s="89" t="s">
        <v>120</v>
      </c>
      <c r="V3" s="57" t="s">
        <v>121</v>
      </c>
      <c r="W3" s="57" t="s">
        <v>122</v>
      </c>
      <c r="X3" s="90" t="s">
        <v>267</v>
      </c>
      <c r="Y3" s="89" t="s">
        <v>123</v>
      </c>
      <c r="Z3" s="57" t="s">
        <v>124</v>
      </c>
      <c r="AA3" s="57" t="s">
        <v>125</v>
      </c>
      <c r="AB3" s="90" t="s">
        <v>269</v>
      </c>
      <c r="AC3" s="89" t="s">
        <v>126</v>
      </c>
      <c r="AD3" s="57" t="s">
        <v>129</v>
      </c>
      <c r="AE3" s="57" t="s">
        <v>128</v>
      </c>
      <c r="AF3" s="90" t="s">
        <v>270</v>
      </c>
      <c r="AG3" s="89" t="s">
        <v>130</v>
      </c>
      <c r="AH3" s="57" t="s">
        <v>127</v>
      </c>
      <c r="AI3" s="57" t="s">
        <v>131</v>
      </c>
      <c r="AJ3" s="90" t="s">
        <v>270</v>
      </c>
      <c r="AK3" s="89" t="s">
        <v>132</v>
      </c>
      <c r="AL3" s="57" t="s">
        <v>133</v>
      </c>
      <c r="AM3" s="57" t="s">
        <v>134</v>
      </c>
      <c r="AN3" s="90" t="s">
        <v>271</v>
      </c>
      <c r="AO3" s="89" t="s">
        <v>135</v>
      </c>
      <c r="AP3" s="57" t="s">
        <v>136</v>
      </c>
      <c r="AQ3" s="57" t="s">
        <v>137</v>
      </c>
      <c r="AR3" s="90" t="s">
        <v>268</v>
      </c>
      <c r="AS3" s="89" t="s">
        <v>405</v>
      </c>
      <c r="AT3" s="57" t="s">
        <v>406</v>
      </c>
      <c r="AU3" s="57" t="s">
        <v>407</v>
      </c>
      <c r="AV3" s="90" t="s">
        <v>408</v>
      </c>
      <c r="AW3" s="16" t="s">
        <v>279</v>
      </c>
      <c r="AX3" s="50" t="s">
        <v>213</v>
      </c>
      <c r="AY3" s="73" t="s">
        <v>208</v>
      </c>
      <c r="AZ3" s="76"/>
      <c r="BA3" s="77" t="s">
        <v>209</v>
      </c>
      <c r="BB3" s="72" t="s">
        <v>213</v>
      </c>
      <c r="BC3" s="49" t="s">
        <v>217</v>
      </c>
      <c r="BD3" s="48" t="s">
        <v>213</v>
      </c>
      <c r="BE3" s="72" t="s">
        <v>218</v>
      </c>
      <c r="BF3" s="56" t="s">
        <v>366</v>
      </c>
      <c r="BG3" s="90" t="s">
        <v>367</v>
      </c>
      <c r="BH3" s="56" t="s">
        <v>368</v>
      </c>
      <c r="BI3" s="90" t="s">
        <v>369</v>
      </c>
      <c r="BJ3" s="56" t="s">
        <v>372</v>
      </c>
      <c r="BK3" s="90" t="s">
        <v>373</v>
      </c>
      <c r="BL3" s="56" t="s">
        <v>374</v>
      </c>
      <c r="BM3" s="90" t="s">
        <v>375</v>
      </c>
      <c r="BN3" s="56" t="s">
        <v>376</v>
      </c>
      <c r="BO3" s="90" t="s">
        <v>377</v>
      </c>
      <c r="BP3" s="56" t="s">
        <v>378</v>
      </c>
      <c r="BQ3" s="90" t="s">
        <v>379</v>
      </c>
      <c r="BR3" s="56" t="s">
        <v>380</v>
      </c>
      <c r="BS3" s="90" t="s">
        <v>381</v>
      </c>
      <c r="BT3" s="56" t="s">
        <v>415</v>
      </c>
      <c r="BU3" s="90" t="s">
        <v>416</v>
      </c>
      <c r="BV3" s="66" t="s">
        <v>454</v>
      </c>
      <c r="BW3" s="67" t="s">
        <v>463</v>
      </c>
      <c r="BX3" s="67" t="s">
        <v>466</v>
      </c>
      <c r="BY3" s="67" t="s">
        <v>465</v>
      </c>
      <c r="BZ3" s="68" t="s">
        <v>464</v>
      </c>
      <c r="CA3" s="66" t="s">
        <v>631</v>
      </c>
      <c r="CB3" s="67" t="s">
        <v>568</v>
      </c>
      <c r="CC3" s="67" t="s">
        <v>569</v>
      </c>
      <c r="CD3" s="67" t="s">
        <v>570</v>
      </c>
      <c r="CE3" s="67" t="s">
        <v>571</v>
      </c>
      <c r="CF3" s="67" t="s">
        <v>572</v>
      </c>
      <c r="CG3" s="67" t="s">
        <v>573</v>
      </c>
      <c r="CH3" s="67" t="s">
        <v>613</v>
      </c>
      <c r="CI3" s="129" t="s">
        <v>632</v>
      </c>
      <c r="CJ3" s="81" t="s">
        <v>620</v>
      </c>
      <c r="CK3" s="160" t="s">
        <v>621</v>
      </c>
      <c r="CL3" s="160" t="s">
        <v>551</v>
      </c>
      <c r="CM3" s="230" t="s">
        <v>633</v>
      </c>
      <c r="CN3" s="81" t="s">
        <v>553</v>
      </c>
      <c r="CO3" s="160" t="s">
        <v>554</v>
      </c>
      <c r="CP3" s="160" t="s">
        <v>555</v>
      </c>
      <c r="CQ3" s="160" t="s">
        <v>556</v>
      </c>
      <c r="CR3" s="160" t="s">
        <v>557</v>
      </c>
      <c r="CS3" s="160" t="s">
        <v>558</v>
      </c>
      <c r="CT3" s="160" t="s">
        <v>623</v>
      </c>
      <c r="CU3" s="230" t="s">
        <v>624</v>
      </c>
      <c r="CV3" s="129" t="s">
        <v>467</v>
      </c>
      <c r="CW3" s="66" t="s">
        <v>610</v>
      </c>
      <c r="CX3" s="248" t="s">
        <v>594</v>
      </c>
      <c r="CY3" s="129" t="s">
        <v>9</v>
      </c>
      <c r="CZ3" s="14" t="s">
        <v>443</v>
      </c>
      <c r="DA3" s="14" t="s">
        <v>444</v>
      </c>
      <c r="DD3" s="14" t="s">
        <v>637</v>
      </c>
      <c r="DE3" s="14" t="s">
        <v>638</v>
      </c>
      <c r="DF3" s="66" t="s">
        <v>640</v>
      </c>
      <c r="DG3" s="68" t="s">
        <v>641</v>
      </c>
      <c r="DH3" s="66" t="s">
        <v>765</v>
      </c>
      <c r="DI3" s="68" t="s">
        <v>766</v>
      </c>
      <c r="DJ3" s="66" t="s">
        <v>765</v>
      </c>
      <c r="DK3" s="68" t="s">
        <v>766</v>
      </c>
      <c r="DL3" s="66" t="s">
        <v>765</v>
      </c>
      <c r="DM3" s="68" t="s">
        <v>766</v>
      </c>
      <c r="DN3" s="66" t="s">
        <v>765</v>
      </c>
      <c r="DO3" s="68" t="s">
        <v>766</v>
      </c>
    </row>
    <row r="4" spans="1:119" ht="15" x14ac:dyDescent="0.25">
      <c r="A4" s="570" t="s">
        <v>290</v>
      </c>
      <c r="B4" s="570"/>
      <c r="K4" s="58">
        <v>0</v>
      </c>
      <c r="L4" s="131">
        <f>VinMin+(K4*DC_Step)</f>
        <v>6</v>
      </c>
      <c r="M4" s="130">
        <f>P4*N4</f>
        <v>1.25</v>
      </c>
      <c r="N4" s="132">
        <f t="shared" ref="N4:N54" si="0">SQRT((2*Lm_Flyback_DCM*Fsw*Pout_Flyback)/((L4^2)*eff))</f>
        <v>2.3078669805688543</v>
      </c>
      <c r="O4" s="52">
        <f>SQRT((2*Lm_Flyback_DCM*Fsw*0.5*Pout_Flyback)/((L4^2)*eff))</f>
        <v>1.631908392036759</v>
      </c>
      <c r="P4" s="21">
        <f>Pout_Flyback/(L4*N4*eff)</f>
        <v>0.54162567016401175</v>
      </c>
      <c r="Q4" s="19">
        <f>(L4*N4)/(Lm_Flyback_DCM*Fsw)</f>
        <v>1.0832513403280237</v>
      </c>
      <c r="R4" s="6">
        <f t="shared" ref="R4:R35" si="1">SUM(S4,(Ns1_Flyback/Np)*W4,(Ns2_Flyback/Np)*AA4,(Ns3_Flyback/Np)*AE4,(Ns4_Flyback/Np)*AI4,(Ns5_Flyback/Np)*AM4,(Ns6_Flyback/Np)*AR4,(NsAux_Flyback/Np)*AU4)</f>
        <v>1.3180863406047822</v>
      </c>
      <c r="S4" s="55">
        <f>Q4*SQRT(N4/3)</f>
        <v>0.95011023059082633</v>
      </c>
      <c r="T4" s="133" t="e">
        <f>SQRT((S4^2)-(M4^2))</f>
        <v>#NUM!</v>
      </c>
      <c r="U4" s="54">
        <f t="shared" ref="U4:U35" si="2">IF(AND(Vout1&lt;&gt;0,Iout1&lt;&gt;0),(Lm_Flyback_DCM*((Ns1_Flyback/Np)^2)*Fsw*V4)/ABS(Vout1),0)</f>
        <v>0.34618004708532812</v>
      </c>
      <c r="V4" s="21">
        <f>IF(AND(Vout1&lt;&gt;0,Iout1&lt;&gt;0),(SQRT((2*ABS(Vout1)*Iout1)/(Fsw*Lm_Flyback_DCM*((Ns1_Flyback/Np)^2)))),0)</f>
        <v>2.8886702408747298</v>
      </c>
      <c r="W4" s="21">
        <f>IF(AND(Vout1&lt;&gt;0,Iout1&lt;&gt;0),SQRT(U4/3)*V4,0)</f>
        <v>0.9812696267038824</v>
      </c>
      <c r="X4" s="63">
        <f>IF(AND(Vout1&lt;&gt;0,Iout1&lt;&gt;0),SQRT(((W4^2)-(Iout1^2))),0)</f>
        <v>0.84432818281257005</v>
      </c>
      <c r="Y4" s="54">
        <f t="shared" ref="Y4:Y35" si="3">IF(AND(Vout2&lt;&gt;0,Iout2&lt;&gt;0),(Lm_Flyback_DCM*((Ns2_Flyback/Np)^2)*Fsw*Z4)/ABS(Vout2),0)</f>
        <v>0</v>
      </c>
      <c r="Z4" s="21">
        <f t="shared" ref="Z4:Z35" si="4">IF(AND(Vout2&lt;&gt;0,Iout2&lt;&gt;0),(SQRT((2*ABS(Vout2)*Iout2)/(Fsw*Lm_Flyback_DCM*((Ns2_Flyback/Np)^2)))),0)</f>
        <v>0</v>
      </c>
      <c r="AA4" s="21">
        <f>IF(AND(Vout2&lt;&gt;0,Iout2&lt;&gt;0),Z4*SQRT(Y4/3),0)</f>
        <v>0</v>
      </c>
      <c r="AB4" s="63">
        <f>IF(AND(Vout2&lt;&gt;0,Iout2&lt;&gt;0),SQRT((AA4^2)-(Iout2^2)),0)</f>
        <v>0</v>
      </c>
      <c r="AC4" s="52">
        <f t="shared" ref="AC4:AC35" si="5">IF(AND(Vout3&lt;&gt;0,Iout3&lt;&gt;0),(Lm_Flyback_DCM*((Ns3_Flyback/Np)^2)*Fsw*AD4)/ABS(Vout3),0)</f>
        <v>0</v>
      </c>
      <c r="AD4" s="21">
        <f t="shared" ref="AD4:AD35" si="6">IF(AND(Vout3&lt;&gt;0,Iout3&lt;&gt;0),(SQRT((2*ABS(Vout3)*Iout3)/(Fsw*Lm_Flyback_DCM*((Ns3_Flyback/Np)^2)))),0)</f>
        <v>0</v>
      </c>
      <c r="AE4" s="21">
        <f>IF(AND(Vout3&lt;&gt;0,Iout3&lt;&gt;0),SQRT(AC4/3)*AD4,0)</f>
        <v>0</v>
      </c>
      <c r="AF4" s="63">
        <f>IF(AND(Vout3&lt;&gt;0,Iout3&lt;&gt;0),SQRT((AD4^2)-(Iout3^2)),0)</f>
        <v>0</v>
      </c>
      <c r="AG4" s="52">
        <f t="shared" ref="AG4:AG35" si="7">IF(AND(Vout4&lt;&gt;0,Iout4&lt;&gt;0),(Lm_Flyback_DCM*((Ns4_Flyback/Np)^2)*Fsw*AH4)/ABS(Vout4),0)</f>
        <v>0</v>
      </c>
      <c r="AH4" s="21">
        <f t="shared" ref="AH4:AH35" si="8">IF(AND(Vout4&lt;&gt;0,Iout4&lt;&gt;0),(SQRT((2*ABS(Vout4)*Iout4)/(Fsw*Lm_Flyback_DCM*((Ns4_Flyback/Np)^2)))),0)</f>
        <v>0</v>
      </c>
      <c r="AI4" s="21">
        <f>IF(AND(Vout4&lt;&gt;0,Iout4&lt;&gt;0),SQRT(AG4/3)*AH4,0)</f>
        <v>0</v>
      </c>
      <c r="AJ4" s="63">
        <f>IF(AND(Vout4&lt;&gt;0,Iout4&lt;&gt;0),SQRT((AI4^2)-(Iout4^2)),0)</f>
        <v>0</v>
      </c>
      <c r="AK4" s="52">
        <f t="shared" ref="AK4:AK35" si="9">IF(AND(Vout5&lt;&gt;0,Iout5&lt;&gt;0),(Lm_Flyback_DCM*((Ns5_Flyback/Np)^2)*Fsw*AL4)/ABS(Vout5),0)</f>
        <v>0</v>
      </c>
      <c r="AL4" s="21">
        <f t="shared" ref="AL4:AL35" si="10">IF(AND(Vout5&lt;&gt;0,Iout5&lt;&gt;0),(SQRT((2*ABS(Vout5)*Iout5)/(Fsw*Lm_Flyback_DCM*((Ns5_Flyback/Np)^2)))),0)</f>
        <v>0</v>
      </c>
      <c r="AM4" s="21">
        <f>IF(AND(Vout5&lt;&gt;0,Iout5&lt;&gt;0),SQRT(AK4/3)*AL4,0)</f>
        <v>0</v>
      </c>
      <c r="AN4" s="63">
        <f>IF(AND(Vout5&lt;&gt;0,Iout5&lt;&gt;0),SQRT((AM4^2)-(Iout5^2)),0)</f>
        <v>0</v>
      </c>
      <c r="AO4" s="52">
        <f>IF(AND(Vout6&lt;&gt;0,Iout6&lt;&gt;0),(Lm_Flyback_DCM*((Ns6_Flyback/Np)^2)*Fsw*AP4)/ABS(Vout6),0)</f>
        <v>0</v>
      </c>
      <c r="AP4" s="21">
        <f t="shared" ref="AP4:AP35" si="11">IF(AND(Vout6&lt;&gt;0,Iout6&lt;&gt;0),(SQRT((2*ABS(Vout6)*Iout6)/(Fsw*Lm_Flyback_DCM*((Ns6_Flyback/Np)^2)))),0)</f>
        <v>0</v>
      </c>
      <c r="AQ4" s="21">
        <f>IF(AND(Vout6&lt;&gt;0,Iout6&lt;&gt;0),SQRT(AO4/3)*AP4,0)</f>
        <v>0</v>
      </c>
      <c r="AR4" s="181">
        <f>IF(AND(Vout6&lt;&gt;0,Iout6&lt;&gt;0),SQRT((AQ4^2)-(Iout6^2)),0)</f>
        <v>0</v>
      </c>
      <c r="AS4" s="183">
        <f t="shared" ref="AS4:AS35" si="12">IF(AND(VOUTAUX&lt;&gt;0,IoutAux&lt;&gt;0),(Lm_Flyback_DCM*((NsAux_Flyback/Np)^2)*Fsw*AT4)/ABS(VOUTAUX),0)</f>
        <v>0</v>
      </c>
      <c r="AT4" s="184">
        <f t="shared" ref="AT4:AT35" si="13">IF(AND(VOUTAUX&lt;&gt;0,IoutAux&lt;&gt;0),(SQRT((2*ABS(VOUTAUX)*IoutAux)/(Fsw*Lm_Flyback_DCM*((NsAux_Flyback/Np)^2)))),0)</f>
        <v>0</v>
      </c>
      <c r="AU4" s="184">
        <f t="shared" ref="AU4:AU35" si="14">IF(AND(VOUTAUX&lt;&gt;0,IoutAux&lt;&gt;0),SQRT(AS4/3)*AT4,0)</f>
        <v>0</v>
      </c>
      <c r="AV4" s="61">
        <f t="shared" ref="AV4:AV35" si="15">IF(AND(VOUTAUX&lt;&gt;0,IoutAux&lt;&gt;0),SQRT((AU4^2)-(IoutAux^2)),0)</f>
        <v>0</v>
      </c>
      <c r="AW4" s="182">
        <f>(L4*N4*(10^4))/(2*Np_T_Flyback_DCM*(Ae_Flyback_DCM/100)*Fsw)</f>
        <v>0.38852979470856125</v>
      </c>
      <c r="AX4" s="52">
        <f>CM_3F35*(Fsw^x_3F35)*(AW4^y_3F35)*(TC_3F35)</f>
        <v>0</v>
      </c>
      <c r="AY4" s="74">
        <f>AX4*(Ve_Flyback_CCM/1000)</f>
        <v>0</v>
      </c>
      <c r="AZ4" s="78">
        <f>CM_3F36*(Fsw^x_3F36)*(AW4^y_3F36)*(TC_3F36)</f>
        <v>0</v>
      </c>
      <c r="BA4" s="87">
        <f>CM_3F36*(Fsw^x_3F36)*(AW4^y_3F36)*(TC_3F36)</f>
        <v>0</v>
      </c>
      <c r="BB4" s="110">
        <f>CM_3C92*(Fsw^x_3C92)*(AW4^y_3C92)*(TC_3C92)/1000</f>
        <v>17871.758454157614</v>
      </c>
      <c r="BC4" s="69">
        <f>(Ve_Flyback_CCM/1000)*BB4/1000</f>
        <v>13.403818840618211</v>
      </c>
      <c r="BD4" s="42">
        <f>(CM_3C96*(Fsw^x_3C96)*(AW4^y_3C96)*(TC_3C96))/1000</f>
        <v>12928.9236132437</v>
      </c>
      <c r="BE4" s="79">
        <f>((Ve_Flyback_CCM/1000)*BD4)/1000</f>
        <v>9.6966927099327744</v>
      </c>
      <c r="BF4" s="117" t="e">
        <f t="shared" ref="BF4:BF35" si="16">(M4^2)*RdcPri_Flyback_DCM</f>
        <v>#NUM!</v>
      </c>
      <c r="BG4" s="118" t="e">
        <f t="shared" ref="BG4:BG35" si="17">RacPri_Flyback_DCM*(T4^2)</f>
        <v>#NUM!</v>
      </c>
      <c r="BH4" s="117">
        <f t="shared" ref="BH4:BH35" si="18">IF(AND(Vout1&lt;&gt;0,Iout1&lt;&gt;0),Rdc1_Flyback_DCM*(Iout1^2),0)</f>
        <v>3.9418515684774288E-4</v>
      </c>
      <c r="BI4" s="118">
        <f t="shared" ref="BI4:BI35" si="19">IF(AND(Vout1&lt;&gt;0,Iout1&lt;&gt;0),Rac1_Flyback_DCM*(X4^2),0)</f>
        <v>1.0542290881294061E-2</v>
      </c>
      <c r="BJ4" s="117">
        <f t="shared" ref="BJ4:BJ35" si="20">IF(AND(Vout2&lt;&gt;0,Iout2&lt;&gt;0),Rdc2_Flyback_DCM*(Iout2^2),0)</f>
        <v>0</v>
      </c>
      <c r="BK4" s="118">
        <f t="shared" ref="BK4:BK35" si="21">IF(AND(Vout2&lt;&gt;0,Iout2&lt;&gt;0),Rac2_Flyback_DCM*(AB4^2),0)</f>
        <v>0</v>
      </c>
      <c r="BL4" s="91">
        <f t="shared" ref="BL4:BL35" si="22">IF(AND(Vout3&lt;&gt;0,Iout3&lt;&gt;0),Rdc3_Flyback_DCM*(Iout3^2),0)</f>
        <v>0</v>
      </c>
      <c r="BM4" s="93">
        <f t="shared" ref="BM4:BM35" si="23">IF(AND(Vout3&lt;&gt;0,Iout3&lt;&gt;0),Rac3_Flyback_DCM*(AF4^2),0)</f>
        <v>0</v>
      </c>
      <c r="BN4" s="91">
        <f t="shared" ref="BN4:BN35" si="24">IF(AND(Vout4&lt;&gt;0,Iout4&lt;&gt;0),Rdc4_Flyback_DCM*(Iout4^2),0)</f>
        <v>0</v>
      </c>
      <c r="BO4" s="93">
        <f t="shared" ref="BO4:BO35" si="25">IF(AND(Vout4&lt;&gt;0,Iout4&lt;&gt;0),Rac4_Flyback_DCM*(AJ4^2),0)</f>
        <v>0</v>
      </c>
      <c r="BP4" s="91">
        <f t="shared" ref="BP4:BP35" si="26">IF(AND(Vout5&lt;&gt;0,Iout5&lt;&gt;0),Rdc5_Flyback_DCM*(Iout5^2),0)</f>
        <v>0</v>
      </c>
      <c r="BQ4" s="93">
        <f t="shared" ref="BQ4:BQ35" si="27">IF(AND(Vout5&lt;&gt;0,Iout5&lt;&gt;0),Rac5_Flyback_DCM*(AN4^2),0)</f>
        <v>0</v>
      </c>
      <c r="BR4" s="91">
        <f t="shared" ref="BR4:BR35" si="28">IF(AND(Vout6&lt;&gt;0,Iout6&lt;&gt;0),Rdc6_Flyback_DCM*(Iout6^2),0)</f>
        <v>0</v>
      </c>
      <c r="BS4" s="93">
        <f t="shared" ref="BS4:BS35" si="29">IF(AND(Vout6&lt;&gt;0,Iout6&lt;&gt;0),Rac6_Flyback_DCM*(AR4^2),0)</f>
        <v>0</v>
      </c>
      <c r="BT4" s="188">
        <f t="shared" ref="BT4:BT35" si="30">IF(AND(VOUTAUX&lt;&gt;0,IoutAux&lt;&gt;0),RdcAUX_Flyback_DCM*(IoutAux^2),0)</f>
        <v>0</v>
      </c>
      <c r="BU4" s="93">
        <f t="shared" ref="BU4:BU35" si="31">IF(AND(VOUTAUX&lt;&gt;0,IoutAux&lt;&gt;0),RacAUX_Flyback_DCM*(AV4^2),0)</f>
        <v>0</v>
      </c>
      <c r="BV4" s="117" t="e">
        <f>SUM(BF4:BU4)</f>
        <v>#NUM!</v>
      </c>
      <c r="BW4" s="206" t="e">
        <f>BV4+AY4</f>
        <v>#NUM!</v>
      </c>
      <c r="BX4" s="206" t="e">
        <f>BV4+BA4</f>
        <v>#NUM!</v>
      </c>
      <c r="BY4" s="97" t="e">
        <f>BV4+BC4</f>
        <v>#NUM!</v>
      </c>
      <c r="BZ4" s="123" t="e">
        <f>BV4+BE4</f>
        <v>#NUM!</v>
      </c>
      <c r="CA4" s="91">
        <f>(M4^2)*$B$99</f>
        <v>0.10937500000000001</v>
      </c>
      <c r="CB4" s="92">
        <f t="shared" ref="CB4:CB35" si="32">IF(AND(Vout1&lt;&gt;0,Iout1&lt;&gt;0),(Iout1^2)*$B$100,0)</f>
        <v>2.5000000000000001E-3</v>
      </c>
      <c r="CC4" s="92">
        <f t="shared" ref="CC4:CC35" si="33">IF(AND(Vout2&lt;&gt;0,Iout2&lt;&gt;0),(Iout2^2)*$B$101,0)</f>
        <v>0</v>
      </c>
      <c r="CD4" s="92">
        <f t="shared" ref="CD4:CD35" si="34">IF(AND(Vout3&lt;&gt;0,Iout3&lt;&gt;0),(Iout3^2)*$B$102,0)</f>
        <v>0</v>
      </c>
      <c r="CE4" s="92">
        <f t="shared" ref="CE4:CE35" si="35">IF(AND(Vout4&lt;&gt;0,Iout4&lt;&gt;0),(Iout4^2)*$B$103,0)</f>
        <v>0</v>
      </c>
      <c r="CF4" s="92">
        <f t="shared" ref="CF4:CF35" si="36">IF(AND(Vout5&lt;&gt;0,Iout5&lt;&gt;0),(Iout5^2)*$B$104,0)</f>
        <v>0</v>
      </c>
      <c r="CG4" s="92">
        <f t="shared" ref="CG4:CG35" si="37">IF(AND(Vout6&lt;&gt;0,Iout6&lt;&gt;0),(Iout6^2)*$B$105,0)</f>
        <v>0</v>
      </c>
      <c r="CH4" s="92">
        <f t="shared" ref="CH4:CH35" si="38">IF(AND(VOUTAUX&lt;&gt;0,IoutAux&lt;&gt;0),(IoutAux^2)*$B$106,0)</f>
        <v>0</v>
      </c>
      <c r="CI4" s="127">
        <f>SUM(CA4:CH4)</f>
        <v>0.11187500000000002</v>
      </c>
      <c r="CJ4" s="91">
        <f>(M4^2)*$B$87</f>
        <v>7.8125E-3</v>
      </c>
      <c r="CK4" s="92">
        <f t="shared" ref="CK4:CK35" si="39">0.5*M4*L4*Fsw*T_Rise_Fall</f>
        <v>3.3750000000000002E-2</v>
      </c>
      <c r="CL4" s="92">
        <f t="shared" ref="CL4:CL35" si="40">$B$88*$B$79*Fsw</f>
        <v>8.1000000000000016E-2</v>
      </c>
      <c r="CM4" s="127">
        <f>SUM(CJ4:CL4)</f>
        <v>0.12256250000000002</v>
      </c>
      <c r="CN4" s="91">
        <f t="shared" ref="CN4:CN35" si="41">IF(AND(Iout1&lt;&gt;0,Vout1&lt;&gt;0),Iout1*Vdiode1,0)</f>
        <v>0.15</v>
      </c>
      <c r="CO4" s="92">
        <f t="shared" ref="CO4:CO35" si="42">IF(AND(Iout2&lt;&gt;0,Vout2&lt;&gt;0),Iout2*Vdiode2,0)</f>
        <v>0</v>
      </c>
      <c r="CP4" s="92">
        <f t="shared" ref="CP4:CP35" si="43">IF(AND(Iout3&lt;&gt;0,Vout3&lt;&gt;0),Iout3*Vdiode3,0)</f>
        <v>0</v>
      </c>
      <c r="CQ4" s="92">
        <f t="shared" ref="CQ4:CQ35" si="44">IF(AND(Iout4&lt;&gt;0,Vout4&lt;&gt;0),Iout4*Vdiode4,0)</f>
        <v>0</v>
      </c>
      <c r="CR4" s="92">
        <f t="shared" ref="CR4:CR35" si="45">IF(AND(Iout5&lt;&gt;0,Vout5&lt;&gt;0),Iout5*Vdiode5,0)</f>
        <v>0</v>
      </c>
      <c r="CS4" s="92">
        <f t="shared" ref="CS4:CS35" si="46">IF(AND(Iout6&lt;&gt;0,Vout6&lt;&gt;0),Iout6*Vdiode6,0)</f>
        <v>0</v>
      </c>
      <c r="CT4" s="92">
        <f t="shared" ref="CT4:CT35" si="47">IF(AND(IoutAux&lt;&gt;0,VOUTAUX&lt;&gt;0),IoutAux*VdiodeAux,0)</f>
        <v>0</v>
      </c>
      <c r="CU4" s="127">
        <f t="shared" ref="CU4:CU35" si="48">SUM(CN4:CT4)</f>
        <v>0.15</v>
      </c>
      <c r="CV4" s="231">
        <f t="shared" ref="CV4:CV35" si="49">IF(AND(Vout1&lt;&gt;0,Ns1_Flyback&lt;&gt;0),0.5*(Q4^2)*LL_Flyback_DCM*Fsw*((Vclamp_Flyback_DCM-L4)/((Vclamp_Flyback_DCM-L4)+((Np/Ns1_Flyback)*ABS(Vout1)))),0)</f>
        <v>4.0746163573122433E-2</v>
      </c>
      <c r="CW4" s="188">
        <f t="shared" ref="CW4:CW35" si="50">CI4+CM4+CV4+CU4</f>
        <v>0.42518366357312243</v>
      </c>
      <c r="CX4" s="206">
        <f t="shared" ref="CX4:CX35" si="51">Pout_Flyback+CW4</f>
        <v>7.9251836635731223</v>
      </c>
      <c r="CY4" s="231">
        <f t="shared" ref="CY4:CY35" si="52">Pout_Flyback/CX4</f>
        <v>0.94635030787647068</v>
      </c>
      <c r="CZ4">
        <f t="shared" ref="CZ4:CZ35" si="53">L4+(ABS(Vout1)*(Np/Ns1_Flyback))</f>
        <v>46</v>
      </c>
      <c r="DA4">
        <f t="shared" ref="DA4:DA35" si="54">IF(AND(Vout1&lt;&gt;0,Ns1_Flyback&lt;&gt;0),L4+(ABS(Vout1)*(Np/Ns1_Flyback))*(Q4*SQRT(LL_Flyback_DCM/Coss_Flyback_DCM)),0)</f>
        <v>793.1295129889736</v>
      </c>
      <c r="DD4" s="22">
        <v>1</v>
      </c>
      <c r="DE4" s="22">
        <f>DD4*2*PI()</f>
        <v>6.2831853071795862</v>
      </c>
      <c r="DF4" s="91">
        <f>20*LOG(IMABS(IMDIV(COMPLEX(1,DE4/$B$112),COMPLEX(1,DE4/$B$111)))*$B$110)</f>
        <v>48.847188493786192</v>
      </c>
      <c r="DG4" s="93">
        <f>IMARGUMENT(IMDIV(COMPLEX(1,DE4/$B$112),COMPLEX(1,DE4/$B$111)))*(180/PI())</f>
        <v>-0.70149687585977949</v>
      </c>
      <c r="DH4" s="91">
        <f>20*LOG(IMABS(IMDIV(COMPLEX(1,DE4/$B$138),IMPRODUCT(COMPLEX(1,DE4/$B$137),COMPLEX(0,DE4))))*$B$136)</f>
        <v>33.343040164608141</v>
      </c>
      <c r="DI4" s="92">
        <f>IMARGUMENT(IMDIV(COMPLEX(-1,-DE4/$B$138),IMPRODUCT(COMPLEX(1,DE4/$B$137),COMPLEX(0,DE4))))*(180/PI())</f>
        <v>90.08157305497754</v>
      </c>
      <c r="DJ4" s="92">
        <f t="shared" ref="DJ4:DJ59" si="55">20*LOG(IMABS(IMDIV(COMPLEX(1,$B$131/DE4),COMPLEX(1,DE4/$B$130)))*$B$132)</f>
        <v>40.334354049287207</v>
      </c>
      <c r="DK4" s="93">
        <f>IMARGUMENT(IMDIV(COMPLEX(-1,-$B$131/-DE4),COMPLEX(1,DE4/$B$130)))*(180/PI())</f>
        <v>90.226676358133645</v>
      </c>
      <c r="DL4" s="91">
        <f>DH4+DF4</f>
        <v>82.190228658394332</v>
      </c>
      <c r="DM4" s="92">
        <f>DI4+DG4</f>
        <v>89.380076179117765</v>
      </c>
      <c r="DN4" s="92">
        <f>DF4+DJ4</f>
        <v>89.181542543073391</v>
      </c>
      <c r="DO4" s="93">
        <f>DG4+DK4</f>
        <v>89.52517948227387</v>
      </c>
    </row>
    <row r="5" spans="1:119" ht="15" x14ac:dyDescent="0.25">
      <c r="A5" t="s">
        <v>284</v>
      </c>
      <c r="B5" s="21">
        <f>SQRT((2*Lm_Flyback_DCM*Fsw*Pout_Flyback)/((VinMax^2)*eff))</f>
        <v>0.23078669805688543</v>
      </c>
      <c r="C5" s="12"/>
      <c r="K5" s="58">
        <v>1</v>
      </c>
      <c r="L5" s="131">
        <f t="shared" ref="L5:L54" si="56">VinMin+(K5*DC_Step)</f>
        <v>7.08</v>
      </c>
      <c r="M5" s="130">
        <f t="shared" ref="M5:M54" si="57">P5*N5</f>
        <v>1.0593220338983051</v>
      </c>
      <c r="N5" s="132">
        <f t="shared" si="0"/>
        <v>1.9558194750583509</v>
      </c>
      <c r="O5" s="52">
        <f t="shared" ref="O5:O54" si="58">SQRT((2*Lm_Flyback_DCM*Fsw*0.5*Pout_Flyback)/((L5^2)*eff))</f>
        <v>1.3829732135904735</v>
      </c>
      <c r="P5" s="21">
        <f t="shared" ref="P5:P54" si="59">Pout_Flyback/(L5*N5*eff)</f>
        <v>0.54162567016401186</v>
      </c>
      <c r="Q5" s="19">
        <f t="shared" ref="Q5:Q54" si="60">(L5*N5)/(Lm_Flyback_DCM*Fsw)</f>
        <v>1.0832513403280235</v>
      </c>
      <c r="R5" s="6">
        <f t="shared" si="1"/>
        <v>1.2426234725013936</v>
      </c>
      <c r="S5" s="55">
        <f t="shared" ref="S5:S54" si="61">Q5*SQRT(N5/3)</f>
        <v>0.87464736248743769</v>
      </c>
      <c r="T5" s="133" t="e">
        <f t="shared" ref="T5:T54" si="62">SQRT((S5^2)-(M5^2))</f>
        <v>#NUM!</v>
      </c>
      <c r="U5" s="54">
        <f t="shared" si="2"/>
        <v>0.34618004708532812</v>
      </c>
      <c r="V5" s="21">
        <f t="shared" ref="V5:V35" si="63">IF(AND(Vout1&lt;&gt;0,Iout1&lt;&gt;0),(SQRT((2*ABS(Vout1)*Iout1)/(Fsw*Lm_Flyback_DCM*((Ns1_Flyback/Np)^2)))),0)</f>
        <v>2.8886702408747298</v>
      </c>
      <c r="W5" s="21">
        <f t="shared" ref="W5:W54" si="64">IF(AND(Vout1&lt;&gt;0,Iout1&lt;&gt;0),SQRT(U5/3)*V5,0)</f>
        <v>0.9812696267038824</v>
      </c>
      <c r="X5" s="63">
        <f t="shared" ref="X5:X54" si="65">IF(AND(Vout1&lt;&gt;0,Iout1&lt;&gt;0),SQRT(((W5^2)-(Iout1^2))),0)</f>
        <v>0.84432818281257005</v>
      </c>
      <c r="Y5" s="54">
        <f t="shared" si="3"/>
        <v>0</v>
      </c>
      <c r="Z5" s="21">
        <f t="shared" si="4"/>
        <v>0</v>
      </c>
      <c r="AA5" s="21">
        <f t="shared" ref="AA5:AA54" si="66">IF(AND(Vout2&lt;&gt;0,Iout2&lt;&gt;0),Z5*SQRT(Y5/3),0)</f>
        <v>0</v>
      </c>
      <c r="AB5" s="63">
        <f t="shared" ref="AB5:AB54" si="67">IF(AND(Vout2&lt;&gt;0,Iout2&lt;&gt;0),SQRT((AA5^2)-(Iout2^2)),0)</f>
        <v>0</v>
      </c>
      <c r="AC5" s="52">
        <f t="shared" si="5"/>
        <v>0</v>
      </c>
      <c r="AD5" s="21">
        <f t="shared" si="6"/>
        <v>0</v>
      </c>
      <c r="AE5" s="21">
        <f t="shared" ref="AE5:AE54" si="68">IF(AND(Vout3&lt;&gt;0,Iout3&lt;&gt;0),SQRT(AC5/3)*AD5,0)</f>
        <v>0</v>
      </c>
      <c r="AF5" s="63">
        <f t="shared" ref="AF5:AF54" si="69">IF(AND(Vout3&lt;&gt;0,Iout3&lt;&gt;0),SQRT((AD5^2)-(Iout3^2)),0)</f>
        <v>0</v>
      </c>
      <c r="AG5" s="52">
        <f t="shared" si="7"/>
        <v>0</v>
      </c>
      <c r="AH5" s="21">
        <f t="shared" si="8"/>
        <v>0</v>
      </c>
      <c r="AI5" s="21">
        <f t="shared" ref="AI5:AI54" si="70">IF(AND(Vout4&lt;&gt;0,Iout4&lt;&gt;0),SQRT(AG5/3)*AH5,0)</f>
        <v>0</v>
      </c>
      <c r="AJ5" s="63">
        <f t="shared" ref="AJ5:AJ54" si="71">IF(AND(Vout4&lt;&gt;0,Iout4&lt;&gt;0),SQRT((AI5^2)-(Iout4^2)),0)</f>
        <v>0</v>
      </c>
      <c r="AK5" s="52">
        <f t="shared" si="9"/>
        <v>0</v>
      </c>
      <c r="AL5" s="21">
        <f t="shared" si="10"/>
        <v>0</v>
      </c>
      <c r="AM5" s="21">
        <f t="shared" ref="AM5:AM54" si="72">IF(AND(Vout5&lt;&gt;0,Iout5&lt;&gt;0),SQRT(AK5/3)*AL5,0)</f>
        <v>0</v>
      </c>
      <c r="AN5" s="63">
        <f t="shared" ref="AN5:AN54" si="73">IF(AND(Vout5&lt;&gt;0,Iout5&lt;&gt;0),SQRT((AM5^2)-(Iout5^2)),0)</f>
        <v>0</v>
      </c>
      <c r="AO5" s="52">
        <f t="shared" ref="AO5:AO35" si="74">IF(AND(Vout6&lt;&gt;0,Iout6&lt;&gt;0),(Lm_Flyback_DCM*((Ns6_Flyback/Np)^2)*Fsw*AP5)/ABS(Vout6),0)</f>
        <v>0</v>
      </c>
      <c r="AP5" s="21">
        <f t="shared" si="11"/>
        <v>0</v>
      </c>
      <c r="AQ5" s="21">
        <f t="shared" ref="AQ5:AQ54" si="75">IF(AND(Vout6&lt;&gt;0,Iout6&lt;&gt;0),SQRT(AO5/3)*AP5,0)</f>
        <v>0</v>
      </c>
      <c r="AR5" s="181">
        <f t="shared" ref="AR5:AR54" si="76">IF(AND(Vout6&lt;&gt;0,Iout6&lt;&gt;0),SQRT((AQ5^2)-(Iout6^2)),0)</f>
        <v>0</v>
      </c>
      <c r="AS5" s="52">
        <f t="shared" si="12"/>
        <v>0</v>
      </c>
      <c r="AT5" s="21">
        <f t="shared" si="13"/>
        <v>0</v>
      </c>
      <c r="AU5" s="21">
        <f t="shared" si="14"/>
        <v>0</v>
      </c>
      <c r="AV5" s="63">
        <f t="shared" si="15"/>
        <v>0</v>
      </c>
      <c r="AW5" s="182">
        <f t="shared" ref="AW5:AW54" si="77">(L5*N5*(10^4))/(2*Np_T_Flyback_DCM*(Ae_Flyback_DCM/100)*Fsw)</f>
        <v>0.38852979470856125</v>
      </c>
      <c r="AX5" s="52">
        <f t="shared" ref="AX5:AX54" si="78">CM_3F35*(Fsw^x_3F35)*(AW5^y_3F35)*(TC_3F35)</f>
        <v>0</v>
      </c>
      <c r="AY5" s="74">
        <f t="shared" ref="AY5:AY54" si="79">AX5*(Ve_Flyback_CCM/1000)</f>
        <v>0</v>
      </c>
      <c r="AZ5" s="78">
        <f t="shared" ref="AZ5:AZ54" si="80">CM_3F36*(Fsw^x_3F36)*(AW5^y_3F36)*(TC_3F36)</f>
        <v>0</v>
      </c>
      <c r="BA5" s="87">
        <f t="shared" ref="BA5:BA54" si="81">CM_3F36*(Fsw^x_3F36)*(AW5^y_3F36)*(TC_3F36)</f>
        <v>0</v>
      </c>
      <c r="BB5" s="110">
        <f t="shared" ref="BB5:BB54" si="82">CM_3C92*(Fsw^x_3C92)*(AW5^y_3C92)*(TC_3C92)/1000</f>
        <v>17871.758454157614</v>
      </c>
      <c r="BC5" s="69">
        <f t="shared" ref="BC5:BC54" si="83">(Ve_Flyback_CCM/1000)*BB5/1000</f>
        <v>13.403818840618211</v>
      </c>
      <c r="BD5" s="42">
        <f t="shared" ref="BD5:BD54" si="84">(CM_3C96*(Fsw^x_3C96)*(AW5^y_3C96)*(TC_3C96))/1000</f>
        <v>12928.9236132437</v>
      </c>
      <c r="BE5" s="79">
        <f t="shared" ref="BE5:BE54" si="85">((Ve_Flyback_CCM/1000)*BD5)/1000</f>
        <v>9.6966927099327744</v>
      </c>
      <c r="BF5" s="117" t="e">
        <f t="shared" si="16"/>
        <v>#NUM!</v>
      </c>
      <c r="BG5" s="118" t="e">
        <f t="shared" si="17"/>
        <v>#NUM!</v>
      </c>
      <c r="BH5" s="117">
        <f t="shared" si="18"/>
        <v>3.9418515684774288E-4</v>
      </c>
      <c r="BI5" s="118">
        <f t="shared" si="19"/>
        <v>1.0542290881294061E-2</v>
      </c>
      <c r="BJ5" s="117">
        <f t="shared" si="20"/>
        <v>0</v>
      </c>
      <c r="BK5" s="118">
        <f t="shared" si="21"/>
        <v>0</v>
      </c>
      <c r="BL5" s="91">
        <f t="shared" si="22"/>
        <v>0</v>
      </c>
      <c r="BM5" s="93">
        <f t="shared" si="23"/>
        <v>0</v>
      </c>
      <c r="BN5" s="91">
        <f t="shared" si="24"/>
        <v>0</v>
      </c>
      <c r="BO5" s="93">
        <f t="shared" si="25"/>
        <v>0</v>
      </c>
      <c r="BP5" s="91">
        <f t="shared" si="26"/>
        <v>0</v>
      </c>
      <c r="BQ5" s="93">
        <f t="shared" si="27"/>
        <v>0</v>
      </c>
      <c r="BR5" s="91">
        <f t="shared" si="28"/>
        <v>0</v>
      </c>
      <c r="BS5" s="93">
        <f t="shared" si="29"/>
        <v>0</v>
      </c>
      <c r="BT5" s="188">
        <f t="shared" si="30"/>
        <v>0</v>
      </c>
      <c r="BU5" s="93">
        <f t="shared" si="31"/>
        <v>0</v>
      </c>
      <c r="BV5" s="117" t="e">
        <f t="shared" ref="BV5:BV54" si="86">SUM(BF5:BU5)</f>
        <v>#NUM!</v>
      </c>
      <c r="BW5" s="206" t="e">
        <f t="shared" ref="BW5:BW54" si="87">BV5+AY5</f>
        <v>#NUM!</v>
      </c>
      <c r="BX5" s="206" t="e">
        <f t="shared" ref="BX5:BX54" si="88">BV5+BA5</f>
        <v>#NUM!</v>
      </c>
      <c r="BY5" s="97" t="e">
        <f t="shared" ref="BY5:BY54" si="89">BV5+BC5</f>
        <v>#NUM!</v>
      </c>
      <c r="BZ5" s="123" t="e">
        <f t="shared" ref="BZ5:BZ54" si="90">BV5+BE5</f>
        <v>#NUM!</v>
      </c>
      <c r="CA5" s="91">
        <f t="shared" ref="CA5:CA54" si="91">(M5^2)*$B$99</f>
        <v>7.8551422005170957E-2</v>
      </c>
      <c r="CB5" s="92">
        <f t="shared" si="32"/>
        <v>2.5000000000000001E-3</v>
      </c>
      <c r="CC5" s="92">
        <f t="shared" si="33"/>
        <v>0</v>
      </c>
      <c r="CD5" s="92">
        <f t="shared" si="34"/>
        <v>0</v>
      </c>
      <c r="CE5" s="92">
        <f t="shared" si="35"/>
        <v>0</v>
      </c>
      <c r="CF5" s="92">
        <f t="shared" si="36"/>
        <v>0</v>
      </c>
      <c r="CG5" s="92">
        <f t="shared" si="37"/>
        <v>0</v>
      </c>
      <c r="CH5" s="92">
        <f t="shared" si="38"/>
        <v>0</v>
      </c>
      <c r="CI5" s="127">
        <f t="shared" ref="CI5:CI54" si="92">SUM(CA5:CH5)</f>
        <v>8.1051422005170959E-2</v>
      </c>
      <c r="CJ5" s="91">
        <f t="shared" ref="CJ5:CJ54" si="93">(M5^2)*$B$87</f>
        <v>5.6108158575122104E-3</v>
      </c>
      <c r="CK5" s="92">
        <f t="shared" si="39"/>
        <v>3.3750000000000009E-2</v>
      </c>
      <c r="CL5" s="92">
        <f t="shared" si="40"/>
        <v>8.1000000000000016E-2</v>
      </c>
      <c r="CM5" s="127">
        <f t="shared" ref="CM5:CM54" si="94">SUM(CJ5:CL5)</f>
        <v>0.12036081585751224</v>
      </c>
      <c r="CN5" s="91">
        <f t="shared" si="41"/>
        <v>0.15</v>
      </c>
      <c r="CO5" s="92">
        <f t="shared" si="42"/>
        <v>0</v>
      </c>
      <c r="CP5" s="92">
        <f t="shared" si="43"/>
        <v>0</v>
      </c>
      <c r="CQ5" s="92">
        <f t="shared" si="44"/>
        <v>0</v>
      </c>
      <c r="CR5" s="92">
        <f t="shared" si="45"/>
        <v>0</v>
      </c>
      <c r="CS5" s="92">
        <f t="shared" si="46"/>
        <v>0</v>
      </c>
      <c r="CT5" s="92">
        <f t="shared" si="47"/>
        <v>0</v>
      </c>
      <c r="CU5" s="127">
        <f t="shared" si="48"/>
        <v>0.15</v>
      </c>
      <c r="CV5" s="231">
        <f t="shared" si="49"/>
        <v>4.0605282618784266E-2</v>
      </c>
      <c r="CW5" s="188">
        <f t="shared" si="50"/>
        <v>0.39201752048146743</v>
      </c>
      <c r="CX5" s="206">
        <f t="shared" si="51"/>
        <v>7.8920175204814678</v>
      </c>
      <c r="CY5" s="231">
        <f t="shared" si="52"/>
        <v>0.95032733778604794</v>
      </c>
      <c r="CZ5">
        <f t="shared" si="53"/>
        <v>47.08</v>
      </c>
      <c r="DA5">
        <f t="shared" si="54"/>
        <v>794.20951298897353</v>
      </c>
      <c r="DD5" s="22">
        <v>2</v>
      </c>
      <c r="DE5" s="22">
        <f t="shared" ref="DE5:DE59" si="95">DD5*2*PI()</f>
        <v>12.566370614359172</v>
      </c>
      <c r="DF5" s="91">
        <f t="shared" ref="DF5:DF59" si="96">20*LOG(IMABS(IMDIV(COMPLEX(1,DE5/$B$112),COMPLEX(1,DE5/$B$111)))*$B$110)</f>
        <v>48.845233382948351</v>
      </c>
      <c r="DG5" s="93">
        <f t="shared" ref="DG5:DG59" si="97">IMARGUMENT(IMDIV(COMPLEX(1,DE5/$B$112),COMPLEX(1,DE5/$B$111)))*(180/PI())</f>
        <v>-1.4027830827715482</v>
      </c>
      <c r="DH5" s="91">
        <f t="shared" ref="DH5:DH59" si="98">20*LOG(IMABS(IMDIV(COMPLEX(1,DE5/$B$138),IMPRODUCT(COMPLEX(1,DE5/$B$137),COMPLEX(0,DE5))))*$B$136)</f>
        <v>27.322469655165378</v>
      </c>
      <c r="DI5" s="92">
        <f t="shared" ref="DI5:DI59" si="99">IMARGUMENT(IMDIV(COMPLEX(-1,-DE5/$B$138),IMPRODUCT(COMPLEX(1,DE5/$B$137),COMPLEX(0,DE5))))*(180/PI())</f>
        <v>90.163145719822438</v>
      </c>
      <c r="DJ5" s="92">
        <f t="shared" si="55"/>
        <v>34.31396475343972</v>
      </c>
      <c r="DK5" s="93">
        <f t="shared" ref="DK5:DK59" si="100">IMARGUMENT(IMDIV(COMPLEX(-1,-$B$131/-DE5),COMPLEX(1,DE5/$B$130)))*(180/PI())</f>
        <v>90.453345265358351</v>
      </c>
      <c r="DL5" s="91">
        <f t="shared" ref="DL5:DL59" si="101">DH5+DF5</f>
        <v>76.167703038113729</v>
      </c>
      <c r="DM5" s="92">
        <f t="shared" ref="DM5:DM59" si="102">DI5+DG5</f>
        <v>88.760362637050889</v>
      </c>
      <c r="DN5" s="92">
        <f t="shared" ref="DN5:DN59" si="103">DF5+DJ5</f>
        <v>83.159198136388071</v>
      </c>
      <c r="DO5" s="93">
        <f t="shared" ref="DO5:DO59" si="104">DG5+DK5</f>
        <v>89.050562182586802</v>
      </c>
    </row>
    <row r="6" spans="1:119" ht="15" x14ac:dyDescent="0.25">
      <c r="A6" t="s">
        <v>287</v>
      </c>
      <c r="B6" s="39">
        <f>B5/Fsw</f>
        <v>7.6928899352295145E-7</v>
      </c>
      <c r="C6" s="12" t="s">
        <v>312</v>
      </c>
      <c r="K6" s="58">
        <v>2</v>
      </c>
      <c r="L6" s="131">
        <f t="shared" si="56"/>
        <v>8.16</v>
      </c>
      <c r="M6" s="130">
        <f t="shared" si="57"/>
        <v>0.91911764705882359</v>
      </c>
      <c r="N6" s="132">
        <f t="shared" si="0"/>
        <v>1.6969610151241576</v>
      </c>
      <c r="O6" s="52">
        <f t="shared" si="58"/>
        <v>1.1999326412034992</v>
      </c>
      <c r="P6" s="21">
        <f t="shared" si="59"/>
        <v>0.54162567016401175</v>
      </c>
      <c r="Q6" s="19">
        <f t="shared" si="60"/>
        <v>1.0832513403280237</v>
      </c>
      <c r="R6" s="6">
        <f t="shared" si="1"/>
        <v>1.1826889113927037</v>
      </c>
      <c r="S6" s="55">
        <f t="shared" si="61"/>
        <v>0.8147128013787478</v>
      </c>
      <c r="T6" s="133" t="e">
        <f t="shared" si="62"/>
        <v>#NUM!</v>
      </c>
      <c r="U6" s="54">
        <f t="shared" si="2"/>
        <v>0.34618004708532812</v>
      </c>
      <c r="V6" s="21">
        <f t="shared" si="63"/>
        <v>2.8886702408747298</v>
      </c>
      <c r="W6" s="21">
        <f t="shared" si="64"/>
        <v>0.9812696267038824</v>
      </c>
      <c r="X6" s="63">
        <f t="shared" si="65"/>
        <v>0.84432818281257005</v>
      </c>
      <c r="Y6" s="54">
        <f t="shared" si="3"/>
        <v>0</v>
      </c>
      <c r="Z6" s="21">
        <f t="shared" si="4"/>
        <v>0</v>
      </c>
      <c r="AA6" s="21">
        <f t="shared" si="66"/>
        <v>0</v>
      </c>
      <c r="AB6" s="63">
        <f t="shared" si="67"/>
        <v>0</v>
      </c>
      <c r="AC6" s="52">
        <f t="shared" si="5"/>
        <v>0</v>
      </c>
      <c r="AD6" s="21">
        <f t="shared" si="6"/>
        <v>0</v>
      </c>
      <c r="AE6" s="21">
        <f t="shared" si="68"/>
        <v>0</v>
      </c>
      <c r="AF6" s="63">
        <f t="shared" si="69"/>
        <v>0</v>
      </c>
      <c r="AG6" s="52">
        <f t="shared" si="7"/>
        <v>0</v>
      </c>
      <c r="AH6" s="21">
        <f t="shared" si="8"/>
        <v>0</v>
      </c>
      <c r="AI6" s="21">
        <f t="shared" si="70"/>
        <v>0</v>
      </c>
      <c r="AJ6" s="63">
        <f t="shared" si="71"/>
        <v>0</v>
      </c>
      <c r="AK6" s="52">
        <f t="shared" si="9"/>
        <v>0</v>
      </c>
      <c r="AL6" s="21">
        <f t="shared" si="10"/>
        <v>0</v>
      </c>
      <c r="AM6" s="21">
        <f t="shared" si="72"/>
        <v>0</v>
      </c>
      <c r="AN6" s="63">
        <f t="shared" si="73"/>
        <v>0</v>
      </c>
      <c r="AO6" s="52">
        <f t="shared" si="74"/>
        <v>0</v>
      </c>
      <c r="AP6" s="21">
        <f t="shared" si="11"/>
        <v>0</v>
      </c>
      <c r="AQ6" s="21">
        <f t="shared" si="75"/>
        <v>0</v>
      </c>
      <c r="AR6" s="181">
        <f t="shared" si="76"/>
        <v>0</v>
      </c>
      <c r="AS6" s="52">
        <f t="shared" si="12"/>
        <v>0</v>
      </c>
      <c r="AT6" s="21">
        <f t="shared" si="13"/>
        <v>0</v>
      </c>
      <c r="AU6" s="21">
        <f t="shared" si="14"/>
        <v>0</v>
      </c>
      <c r="AV6" s="63">
        <f t="shared" si="15"/>
        <v>0</v>
      </c>
      <c r="AW6" s="182">
        <f t="shared" si="77"/>
        <v>0.38852979470856125</v>
      </c>
      <c r="AX6" s="52">
        <f t="shared" si="78"/>
        <v>0</v>
      </c>
      <c r="AY6" s="74">
        <f t="shared" si="79"/>
        <v>0</v>
      </c>
      <c r="AZ6" s="78">
        <f t="shared" si="80"/>
        <v>0</v>
      </c>
      <c r="BA6" s="87">
        <f t="shared" si="81"/>
        <v>0</v>
      </c>
      <c r="BB6" s="110">
        <f t="shared" si="82"/>
        <v>17871.758454157614</v>
      </c>
      <c r="BC6" s="69">
        <f t="shared" si="83"/>
        <v>13.403818840618211</v>
      </c>
      <c r="BD6" s="42">
        <f t="shared" si="84"/>
        <v>12928.9236132437</v>
      </c>
      <c r="BE6" s="79">
        <f t="shared" si="85"/>
        <v>9.6966927099327744</v>
      </c>
      <c r="BF6" s="117" t="e">
        <f t="shared" si="16"/>
        <v>#NUM!</v>
      </c>
      <c r="BG6" s="118" t="e">
        <f t="shared" si="17"/>
        <v>#NUM!</v>
      </c>
      <c r="BH6" s="117">
        <f t="shared" si="18"/>
        <v>3.9418515684774288E-4</v>
      </c>
      <c r="BI6" s="118">
        <f t="shared" si="19"/>
        <v>1.0542290881294061E-2</v>
      </c>
      <c r="BJ6" s="117">
        <f t="shared" si="20"/>
        <v>0</v>
      </c>
      <c r="BK6" s="118">
        <f t="shared" si="21"/>
        <v>0</v>
      </c>
      <c r="BL6" s="91">
        <f t="shared" si="22"/>
        <v>0</v>
      </c>
      <c r="BM6" s="93">
        <f t="shared" si="23"/>
        <v>0</v>
      </c>
      <c r="BN6" s="91">
        <f t="shared" si="24"/>
        <v>0</v>
      </c>
      <c r="BO6" s="93">
        <f t="shared" si="25"/>
        <v>0</v>
      </c>
      <c r="BP6" s="91">
        <f t="shared" si="26"/>
        <v>0</v>
      </c>
      <c r="BQ6" s="93">
        <f t="shared" si="27"/>
        <v>0</v>
      </c>
      <c r="BR6" s="91">
        <f t="shared" si="28"/>
        <v>0</v>
      </c>
      <c r="BS6" s="93">
        <f t="shared" si="29"/>
        <v>0</v>
      </c>
      <c r="BT6" s="188">
        <f t="shared" si="30"/>
        <v>0</v>
      </c>
      <c r="BU6" s="93">
        <f t="shared" si="31"/>
        <v>0</v>
      </c>
      <c r="BV6" s="117" t="e">
        <f t="shared" si="86"/>
        <v>#NUM!</v>
      </c>
      <c r="BW6" s="206" t="e">
        <f t="shared" si="87"/>
        <v>#NUM!</v>
      </c>
      <c r="BX6" s="206" t="e">
        <f t="shared" si="88"/>
        <v>#NUM!</v>
      </c>
      <c r="BY6" s="97" t="e">
        <f t="shared" si="89"/>
        <v>#NUM!</v>
      </c>
      <c r="BZ6" s="123" t="e">
        <f t="shared" si="90"/>
        <v>#NUM!</v>
      </c>
      <c r="CA6" s="91">
        <f t="shared" si="91"/>
        <v>5.9134407439446382E-2</v>
      </c>
      <c r="CB6" s="92">
        <f t="shared" si="32"/>
        <v>2.5000000000000001E-3</v>
      </c>
      <c r="CC6" s="92">
        <f t="shared" si="33"/>
        <v>0</v>
      </c>
      <c r="CD6" s="92">
        <f t="shared" si="34"/>
        <v>0</v>
      </c>
      <c r="CE6" s="92">
        <f t="shared" si="35"/>
        <v>0</v>
      </c>
      <c r="CF6" s="92">
        <f t="shared" si="36"/>
        <v>0</v>
      </c>
      <c r="CG6" s="92">
        <f t="shared" si="37"/>
        <v>0</v>
      </c>
      <c r="CH6" s="92">
        <f t="shared" si="38"/>
        <v>0</v>
      </c>
      <c r="CI6" s="127">
        <f t="shared" si="92"/>
        <v>6.1634407439446384E-2</v>
      </c>
      <c r="CJ6" s="91">
        <f t="shared" si="93"/>
        <v>4.2238862456747414E-3</v>
      </c>
      <c r="CK6" s="92">
        <f t="shared" si="39"/>
        <v>3.3750000000000009E-2</v>
      </c>
      <c r="CL6" s="92">
        <f t="shared" si="40"/>
        <v>8.1000000000000016E-2</v>
      </c>
      <c r="CM6" s="127">
        <f t="shared" si="94"/>
        <v>0.11897388624567476</v>
      </c>
      <c r="CN6" s="91">
        <f t="shared" si="41"/>
        <v>0.15</v>
      </c>
      <c r="CO6" s="92">
        <f t="shared" si="42"/>
        <v>0</v>
      </c>
      <c r="CP6" s="92">
        <f t="shared" si="43"/>
        <v>0</v>
      </c>
      <c r="CQ6" s="92">
        <f t="shared" si="44"/>
        <v>0</v>
      </c>
      <c r="CR6" s="92">
        <f t="shared" si="45"/>
        <v>0</v>
      </c>
      <c r="CS6" s="92">
        <f t="shared" si="46"/>
        <v>0</v>
      </c>
      <c r="CT6" s="92">
        <f t="shared" si="47"/>
        <v>0</v>
      </c>
      <c r="CU6" s="127">
        <f t="shared" si="48"/>
        <v>0.15</v>
      </c>
      <c r="CV6" s="231">
        <f t="shared" si="49"/>
        <v>4.0462093542014632E-2</v>
      </c>
      <c r="CW6" s="188">
        <f t="shared" si="50"/>
        <v>0.37107038722713581</v>
      </c>
      <c r="CX6" s="206">
        <f t="shared" si="51"/>
        <v>7.8710703872271361</v>
      </c>
      <c r="CY6" s="231">
        <f t="shared" si="52"/>
        <v>0.95285642625820055</v>
      </c>
      <c r="CZ6">
        <f t="shared" si="53"/>
        <v>48.16</v>
      </c>
      <c r="DA6">
        <f t="shared" si="54"/>
        <v>795.28951298897357</v>
      </c>
      <c r="DD6" s="22">
        <v>3</v>
      </c>
      <c r="DE6" s="22">
        <f t="shared" si="95"/>
        <v>18.849555921538759</v>
      </c>
      <c r="DF6" s="91">
        <f t="shared" si="96"/>
        <v>48.841976819512922</v>
      </c>
      <c r="DG6" s="93">
        <f t="shared" si="97"/>
        <v>-2.1036483308880243</v>
      </c>
      <c r="DH6" s="91">
        <f t="shared" si="98"/>
        <v>23.800693480001613</v>
      </c>
      <c r="DI6" s="92">
        <f t="shared" si="99"/>
        <v>90.244717604412628</v>
      </c>
      <c r="DJ6" s="92">
        <f t="shared" si="55"/>
        <v>30.792490578671227</v>
      </c>
      <c r="DK6" s="93">
        <f t="shared" si="100"/>
        <v>90.679999272210821</v>
      </c>
      <c r="DL6" s="91">
        <f t="shared" si="101"/>
        <v>72.642670299514535</v>
      </c>
      <c r="DM6" s="92">
        <f t="shared" si="102"/>
        <v>88.141069273524607</v>
      </c>
      <c r="DN6" s="92">
        <f t="shared" si="103"/>
        <v>79.634467398184142</v>
      </c>
      <c r="DO6" s="93">
        <f t="shared" si="104"/>
        <v>88.576350941322801</v>
      </c>
    </row>
    <row r="7" spans="1:119" ht="15" x14ac:dyDescent="0.25">
      <c r="A7" t="s">
        <v>285</v>
      </c>
      <c r="B7" s="21">
        <f>SQRT((2*Lm_Flyback_DCM*Fsw*Pout_Flyback)/((VinMin^2)*eff))</f>
        <v>2.3078669805688543</v>
      </c>
      <c r="C7" s="12"/>
      <c r="E7" s="12" t="s">
        <v>845</v>
      </c>
      <c r="F7" s="12"/>
      <c r="G7" s="12"/>
      <c r="H7" s="12"/>
      <c r="I7" s="12" t="s">
        <v>850</v>
      </c>
      <c r="J7" s="12" t="s">
        <v>849</v>
      </c>
      <c r="K7" s="58">
        <v>3</v>
      </c>
      <c r="L7" s="131">
        <f t="shared" si="56"/>
        <v>9.24</v>
      </c>
      <c r="M7" s="130">
        <f t="shared" si="57"/>
        <v>0.81168831168831168</v>
      </c>
      <c r="N7" s="132">
        <f t="shared" si="0"/>
        <v>1.498614922447308</v>
      </c>
      <c r="O7" s="52">
        <f t="shared" si="58"/>
        <v>1.0596807740498435</v>
      </c>
      <c r="P7" s="21">
        <f t="shared" si="59"/>
        <v>0.54162567016401175</v>
      </c>
      <c r="Q7" s="19">
        <f t="shared" si="60"/>
        <v>1.0832513403280237</v>
      </c>
      <c r="R7" s="6">
        <f t="shared" si="1"/>
        <v>1.1335967521794932</v>
      </c>
      <c r="S7" s="55">
        <f t="shared" si="61"/>
        <v>0.76562064216553727</v>
      </c>
      <c r="T7" s="133" t="e">
        <f t="shared" si="62"/>
        <v>#NUM!</v>
      </c>
      <c r="U7" s="54">
        <f t="shared" si="2"/>
        <v>0.34618004708532812</v>
      </c>
      <c r="V7" s="21">
        <f t="shared" si="63"/>
        <v>2.8886702408747298</v>
      </c>
      <c r="W7" s="21">
        <f t="shared" si="64"/>
        <v>0.9812696267038824</v>
      </c>
      <c r="X7" s="63">
        <f t="shared" si="65"/>
        <v>0.84432818281257005</v>
      </c>
      <c r="Y7" s="54">
        <f t="shared" si="3"/>
        <v>0</v>
      </c>
      <c r="Z7" s="21">
        <f t="shared" si="4"/>
        <v>0</v>
      </c>
      <c r="AA7" s="21">
        <f t="shared" si="66"/>
        <v>0</v>
      </c>
      <c r="AB7" s="63">
        <f t="shared" si="67"/>
        <v>0</v>
      </c>
      <c r="AC7" s="52">
        <f t="shared" si="5"/>
        <v>0</v>
      </c>
      <c r="AD7" s="21">
        <f t="shared" si="6"/>
        <v>0</v>
      </c>
      <c r="AE7" s="21">
        <f t="shared" si="68"/>
        <v>0</v>
      </c>
      <c r="AF7" s="63">
        <f t="shared" si="69"/>
        <v>0</v>
      </c>
      <c r="AG7" s="52">
        <f t="shared" si="7"/>
        <v>0</v>
      </c>
      <c r="AH7" s="21">
        <f t="shared" si="8"/>
        <v>0</v>
      </c>
      <c r="AI7" s="21">
        <f t="shared" si="70"/>
        <v>0</v>
      </c>
      <c r="AJ7" s="63">
        <f t="shared" si="71"/>
        <v>0</v>
      </c>
      <c r="AK7" s="52">
        <f t="shared" si="9"/>
        <v>0</v>
      </c>
      <c r="AL7" s="21">
        <f t="shared" si="10"/>
        <v>0</v>
      </c>
      <c r="AM7" s="21">
        <f t="shared" si="72"/>
        <v>0</v>
      </c>
      <c r="AN7" s="63">
        <f t="shared" si="73"/>
        <v>0</v>
      </c>
      <c r="AO7" s="52">
        <f t="shared" si="74"/>
        <v>0</v>
      </c>
      <c r="AP7" s="21">
        <f t="shared" si="11"/>
        <v>0</v>
      </c>
      <c r="AQ7" s="21">
        <f t="shared" si="75"/>
        <v>0</v>
      </c>
      <c r="AR7" s="181">
        <f t="shared" si="76"/>
        <v>0</v>
      </c>
      <c r="AS7" s="52">
        <f t="shared" si="12"/>
        <v>0</v>
      </c>
      <c r="AT7" s="21">
        <f t="shared" si="13"/>
        <v>0</v>
      </c>
      <c r="AU7" s="21">
        <f t="shared" si="14"/>
        <v>0</v>
      </c>
      <c r="AV7" s="63">
        <f t="shared" si="15"/>
        <v>0</v>
      </c>
      <c r="AW7" s="182">
        <f t="shared" si="77"/>
        <v>0.38852979470856125</v>
      </c>
      <c r="AX7" s="52">
        <f t="shared" si="78"/>
        <v>0</v>
      </c>
      <c r="AY7" s="74">
        <f t="shared" si="79"/>
        <v>0</v>
      </c>
      <c r="AZ7" s="78">
        <f t="shared" si="80"/>
        <v>0</v>
      </c>
      <c r="BA7" s="87">
        <f t="shared" si="81"/>
        <v>0</v>
      </c>
      <c r="BB7" s="110">
        <f t="shared" si="82"/>
        <v>17871.758454157614</v>
      </c>
      <c r="BC7" s="69">
        <f t="shared" si="83"/>
        <v>13.403818840618211</v>
      </c>
      <c r="BD7" s="42">
        <f t="shared" si="84"/>
        <v>12928.9236132437</v>
      </c>
      <c r="BE7" s="79">
        <f t="shared" si="85"/>
        <v>9.6966927099327744</v>
      </c>
      <c r="BF7" s="117" t="e">
        <f t="shared" si="16"/>
        <v>#NUM!</v>
      </c>
      <c r="BG7" s="118" t="e">
        <f t="shared" si="17"/>
        <v>#NUM!</v>
      </c>
      <c r="BH7" s="117">
        <f t="shared" si="18"/>
        <v>3.9418515684774288E-4</v>
      </c>
      <c r="BI7" s="118">
        <f t="shared" si="19"/>
        <v>1.0542290881294061E-2</v>
      </c>
      <c r="BJ7" s="117">
        <f t="shared" si="20"/>
        <v>0</v>
      </c>
      <c r="BK7" s="118">
        <f t="shared" si="21"/>
        <v>0</v>
      </c>
      <c r="BL7" s="91">
        <f t="shared" si="22"/>
        <v>0</v>
      </c>
      <c r="BM7" s="93">
        <f t="shared" si="23"/>
        <v>0</v>
      </c>
      <c r="BN7" s="91">
        <f t="shared" si="24"/>
        <v>0</v>
      </c>
      <c r="BO7" s="93">
        <f t="shared" si="25"/>
        <v>0</v>
      </c>
      <c r="BP7" s="91">
        <f t="shared" si="26"/>
        <v>0</v>
      </c>
      <c r="BQ7" s="93">
        <f t="shared" si="27"/>
        <v>0</v>
      </c>
      <c r="BR7" s="91">
        <f t="shared" si="28"/>
        <v>0</v>
      </c>
      <c r="BS7" s="93">
        <f t="shared" si="29"/>
        <v>0</v>
      </c>
      <c r="BT7" s="188">
        <f t="shared" si="30"/>
        <v>0</v>
      </c>
      <c r="BU7" s="93">
        <f t="shared" si="31"/>
        <v>0</v>
      </c>
      <c r="BV7" s="117" t="e">
        <f t="shared" si="86"/>
        <v>#NUM!</v>
      </c>
      <c r="BW7" s="206" t="e">
        <f t="shared" si="87"/>
        <v>#NUM!</v>
      </c>
      <c r="BX7" s="206" t="e">
        <f t="shared" si="88"/>
        <v>#NUM!</v>
      </c>
      <c r="BY7" s="97" t="e">
        <f t="shared" si="89"/>
        <v>#NUM!</v>
      </c>
      <c r="BZ7" s="123" t="e">
        <f t="shared" si="90"/>
        <v>#NUM!</v>
      </c>
      <c r="CA7" s="91">
        <f t="shared" si="91"/>
        <v>4.6118654073199532E-2</v>
      </c>
      <c r="CB7" s="92">
        <f t="shared" si="32"/>
        <v>2.5000000000000001E-3</v>
      </c>
      <c r="CC7" s="92">
        <f t="shared" si="33"/>
        <v>0</v>
      </c>
      <c r="CD7" s="92">
        <f t="shared" si="34"/>
        <v>0</v>
      </c>
      <c r="CE7" s="92">
        <f t="shared" si="35"/>
        <v>0</v>
      </c>
      <c r="CF7" s="92">
        <f t="shared" si="36"/>
        <v>0</v>
      </c>
      <c r="CG7" s="92">
        <f t="shared" si="37"/>
        <v>0</v>
      </c>
      <c r="CH7" s="92">
        <f t="shared" si="38"/>
        <v>0</v>
      </c>
      <c r="CI7" s="127">
        <f t="shared" si="92"/>
        <v>4.8618654073199534E-2</v>
      </c>
      <c r="CJ7" s="91">
        <f t="shared" si="93"/>
        <v>3.2941895766571091E-3</v>
      </c>
      <c r="CK7" s="92">
        <f t="shared" si="39"/>
        <v>3.3750000000000002E-2</v>
      </c>
      <c r="CL7" s="92">
        <f t="shared" si="40"/>
        <v>8.1000000000000016E-2</v>
      </c>
      <c r="CM7" s="127">
        <f t="shared" si="94"/>
        <v>0.11804418957665713</v>
      </c>
      <c r="CN7" s="91">
        <f t="shared" si="41"/>
        <v>0.15</v>
      </c>
      <c r="CO7" s="92">
        <f t="shared" si="42"/>
        <v>0</v>
      </c>
      <c r="CP7" s="92">
        <f t="shared" si="43"/>
        <v>0</v>
      </c>
      <c r="CQ7" s="92">
        <f t="shared" si="44"/>
        <v>0</v>
      </c>
      <c r="CR7" s="92">
        <f t="shared" si="45"/>
        <v>0</v>
      </c>
      <c r="CS7" s="92">
        <f t="shared" si="46"/>
        <v>0</v>
      </c>
      <c r="CT7" s="92">
        <f t="shared" si="47"/>
        <v>0</v>
      </c>
      <c r="CU7" s="127">
        <f t="shared" si="48"/>
        <v>0.15</v>
      </c>
      <c r="CV7" s="231">
        <f t="shared" si="49"/>
        <v>4.03165391516489E-2</v>
      </c>
      <c r="CW7" s="188">
        <f t="shared" si="50"/>
        <v>0.35697938280150554</v>
      </c>
      <c r="CX7" s="206">
        <f t="shared" si="51"/>
        <v>7.8569793828015051</v>
      </c>
      <c r="CY7" s="231">
        <f t="shared" si="52"/>
        <v>0.95456531506460185</v>
      </c>
      <c r="CZ7">
        <f t="shared" si="53"/>
        <v>49.24</v>
      </c>
      <c r="DA7">
        <f t="shared" si="54"/>
        <v>796.36951298897361</v>
      </c>
      <c r="DD7" s="22">
        <v>4</v>
      </c>
      <c r="DE7" s="22">
        <f t="shared" si="95"/>
        <v>25.132741228718345</v>
      </c>
      <c r="DF7" s="91">
        <f t="shared" si="96"/>
        <v>48.837421729271632</v>
      </c>
      <c r="DG7" s="93">
        <f t="shared" si="97"/>
        <v>-2.803883086859555</v>
      </c>
      <c r="DH7" s="91">
        <f t="shared" si="98"/>
        <v>21.301987355231088</v>
      </c>
      <c r="DI7" s="92">
        <f t="shared" si="99"/>
        <v>90.326288318647272</v>
      </c>
      <c r="DJ7" s="92">
        <f t="shared" si="55"/>
        <v>28.294207207708286</v>
      </c>
      <c r="DK7" s="93">
        <f t="shared" si="100"/>
        <v>90.906630932118361</v>
      </c>
      <c r="DL7" s="91">
        <f t="shared" si="101"/>
        <v>70.139409084502716</v>
      </c>
      <c r="DM7" s="92">
        <f t="shared" si="102"/>
        <v>87.522405231787715</v>
      </c>
      <c r="DN7" s="92">
        <f t="shared" si="103"/>
        <v>77.131628936979922</v>
      </c>
      <c r="DO7" s="93">
        <f t="shared" si="104"/>
        <v>88.102747845258804</v>
      </c>
    </row>
    <row r="8" spans="1:119" ht="15" x14ac:dyDescent="0.25">
      <c r="A8" t="s">
        <v>286</v>
      </c>
      <c r="B8" s="39">
        <f>B7/Fsw</f>
        <v>7.6928899352295147E-6</v>
      </c>
      <c r="C8" s="12" t="s">
        <v>312</v>
      </c>
      <c r="E8" s="12"/>
      <c r="F8" s="12" t="s">
        <v>10</v>
      </c>
      <c r="G8" s="12" t="s">
        <v>699</v>
      </c>
      <c r="H8" s="12" t="s">
        <v>700</v>
      </c>
      <c r="I8" s="12"/>
      <c r="J8" s="12"/>
      <c r="K8" s="58">
        <v>4</v>
      </c>
      <c r="L8" s="131">
        <f t="shared" si="56"/>
        <v>10.32</v>
      </c>
      <c r="M8" s="130">
        <f t="shared" si="57"/>
        <v>0.72674418604651159</v>
      </c>
      <c r="N8" s="132">
        <f t="shared" si="0"/>
        <v>1.341783128237706</v>
      </c>
      <c r="O8" s="52">
        <f t="shared" si="58"/>
        <v>0.94878394885858075</v>
      </c>
      <c r="P8" s="21">
        <f t="shared" si="59"/>
        <v>0.54162567016401175</v>
      </c>
      <c r="Q8" s="19">
        <f t="shared" si="60"/>
        <v>1.0832513403280237</v>
      </c>
      <c r="R8" s="6">
        <f t="shared" si="1"/>
        <v>1.0924283691313679</v>
      </c>
      <c r="S8" s="55">
        <f t="shared" si="61"/>
        <v>0.72445225911741196</v>
      </c>
      <c r="T8" s="133" t="e">
        <f t="shared" si="62"/>
        <v>#NUM!</v>
      </c>
      <c r="U8" s="54">
        <f t="shared" si="2"/>
        <v>0.34618004708532812</v>
      </c>
      <c r="V8" s="21">
        <f t="shared" si="63"/>
        <v>2.8886702408747298</v>
      </c>
      <c r="W8" s="21">
        <f t="shared" si="64"/>
        <v>0.9812696267038824</v>
      </c>
      <c r="X8" s="63">
        <f t="shared" si="65"/>
        <v>0.84432818281257005</v>
      </c>
      <c r="Y8" s="54">
        <f t="shared" si="3"/>
        <v>0</v>
      </c>
      <c r="Z8" s="21">
        <f t="shared" si="4"/>
        <v>0</v>
      </c>
      <c r="AA8" s="21">
        <f t="shared" si="66"/>
        <v>0</v>
      </c>
      <c r="AB8" s="63">
        <f t="shared" si="67"/>
        <v>0</v>
      </c>
      <c r="AC8" s="52">
        <f t="shared" si="5"/>
        <v>0</v>
      </c>
      <c r="AD8" s="21">
        <f t="shared" si="6"/>
        <v>0</v>
      </c>
      <c r="AE8" s="21">
        <f t="shared" si="68"/>
        <v>0</v>
      </c>
      <c r="AF8" s="63">
        <f t="shared" si="69"/>
        <v>0</v>
      </c>
      <c r="AG8" s="52">
        <f t="shared" si="7"/>
        <v>0</v>
      </c>
      <c r="AH8" s="21">
        <f t="shared" si="8"/>
        <v>0</v>
      </c>
      <c r="AI8" s="21">
        <f t="shared" si="70"/>
        <v>0</v>
      </c>
      <c r="AJ8" s="63">
        <f t="shared" si="71"/>
        <v>0</v>
      </c>
      <c r="AK8" s="52">
        <f t="shared" si="9"/>
        <v>0</v>
      </c>
      <c r="AL8" s="21">
        <f t="shared" si="10"/>
        <v>0</v>
      </c>
      <c r="AM8" s="21">
        <f t="shared" si="72"/>
        <v>0</v>
      </c>
      <c r="AN8" s="63">
        <f t="shared" si="73"/>
        <v>0</v>
      </c>
      <c r="AO8" s="52">
        <f t="shared" si="74"/>
        <v>0</v>
      </c>
      <c r="AP8" s="21">
        <f t="shared" si="11"/>
        <v>0</v>
      </c>
      <c r="AQ8" s="21">
        <f t="shared" si="75"/>
        <v>0</v>
      </c>
      <c r="AR8" s="181">
        <f t="shared" si="76"/>
        <v>0</v>
      </c>
      <c r="AS8" s="52">
        <f t="shared" si="12"/>
        <v>0</v>
      </c>
      <c r="AT8" s="21">
        <f t="shared" si="13"/>
        <v>0</v>
      </c>
      <c r="AU8" s="21">
        <f t="shared" si="14"/>
        <v>0</v>
      </c>
      <c r="AV8" s="63">
        <f t="shared" si="15"/>
        <v>0</v>
      </c>
      <c r="AW8" s="182">
        <f t="shared" si="77"/>
        <v>0.38852979470856125</v>
      </c>
      <c r="AX8" s="52">
        <f t="shared" si="78"/>
        <v>0</v>
      </c>
      <c r="AY8" s="74">
        <f t="shared" si="79"/>
        <v>0</v>
      </c>
      <c r="AZ8" s="78">
        <f t="shared" si="80"/>
        <v>0</v>
      </c>
      <c r="BA8" s="87">
        <f t="shared" si="81"/>
        <v>0</v>
      </c>
      <c r="BB8" s="110">
        <f t="shared" si="82"/>
        <v>17871.758454157614</v>
      </c>
      <c r="BC8" s="69">
        <f t="shared" si="83"/>
        <v>13.403818840618211</v>
      </c>
      <c r="BD8" s="42">
        <f t="shared" si="84"/>
        <v>12928.9236132437</v>
      </c>
      <c r="BE8" s="79">
        <f t="shared" si="85"/>
        <v>9.6966927099327744</v>
      </c>
      <c r="BF8" s="117" t="e">
        <f t="shared" si="16"/>
        <v>#NUM!</v>
      </c>
      <c r="BG8" s="118" t="e">
        <f t="shared" si="17"/>
        <v>#NUM!</v>
      </c>
      <c r="BH8" s="117">
        <f t="shared" si="18"/>
        <v>3.9418515684774288E-4</v>
      </c>
      <c r="BI8" s="118">
        <f t="shared" si="19"/>
        <v>1.0542290881294061E-2</v>
      </c>
      <c r="BJ8" s="117">
        <f t="shared" si="20"/>
        <v>0</v>
      </c>
      <c r="BK8" s="118">
        <f t="shared" si="21"/>
        <v>0</v>
      </c>
      <c r="BL8" s="91">
        <f t="shared" si="22"/>
        <v>0</v>
      </c>
      <c r="BM8" s="93">
        <f t="shared" si="23"/>
        <v>0</v>
      </c>
      <c r="BN8" s="91">
        <f t="shared" si="24"/>
        <v>0</v>
      </c>
      <c r="BO8" s="93">
        <f t="shared" si="25"/>
        <v>0</v>
      </c>
      <c r="BP8" s="91">
        <f t="shared" si="26"/>
        <v>0</v>
      </c>
      <c r="BQ8" s="93">
        <f t="shared" si="27"/>
        <v>0</v>
      </c>
      <c r="BR8" s="91">
        <f t="shared" si="28"/>
        <v>0</v>
      </c>
      <c r="BS8" s="93">
        <f t="shared" si="29"/>
        <v>0</v>
      </c>
      <c r="BT8" s="188">
        <f t="shared" si="30"/>
        <v>0</v>
      </c>
      <c r="BU8" s="93">
        <f t="shared" si="31"/>
        <v>0</v>
      </c>
      <c r="BV8" s="117" t="e">
        <f t="shared" si="86"/>
        <v>#NUM!</v>
      </c>
      <c r="BW8" s="206" t="e">
        <f t="shared" si="87"/>
        <v>#NUM!</v>
      </c>
      <c r="BX8" s="206" t="e">
        <f t="shared" si="88"/>
        <v>#NUM!</v>
      </c>
      <c r="BY8" s="97" t="e">
        <f t="shared" si="89"/>
        <v>#NUM!</v>
      </c>
      <c r="BZ8" s="123" t="e">
        <f t="shared" si="90"/>
        <v>#NUM!</v>
      </c>
      <c r="CA8" s="91">
        <f t="shared" si="91"/>
        <v>3.6970997836668469E-2</v>
      </c>
      <c r="CB8" s="92">
        <f t="shared" si="32"/>
        <v>2.5000000000000001E-3</v>
      </c>
      <c r="CC8" s="92">
        <f t="shared" si="33"/>
        <v>0</v>
      </c>
      <c r="CD8" s="92">
        <f t="shared" si="34"/>
        <v>0</v>
      </c>
      <c r="CE8" s="92">
        <f t="shared" si="35"/>
        <v>0</v>
      </c>
      <c r="CF8" s="92">
        <f t="shared" si="36"/>
        <v>0</v>
      </c>
      <c r="CG8" s="92">
        <f t="shared" si="37"/>
        <v>0</v>
      </c>
      <c r="CH8" s="92">
        <f t="shared" si="38"/>
        <v>0</v>
      </c>
      <c r="CI8" s="127">
        <f t="shared" si="92"/>
        <v>3.9470997836668471E-2</v>
      </c>
      <c r="CJ8" s="91">
        <f t="shared" si="93"/>
        <v>2.6407855597620333E-3</v>
      </c>
      <c r="CK8" s="92">
        <f t="shared" si="39"/>
        <v>3.3750000000000002E-2</v>
      </c>
      <c r="CL8" s="92">
        <f t="shared" si="40"/>
        <v>8.1000000000000016E-2</v>
      </c>
      <c r="CM8" s="127">
        <f t="shared" si="94"/>
        <v>0.11739078555976205</v>
      </c>
      <c r="CN8" s="91">
        <f t="shared" si="41"/>
        <v>0.15</v>
      </c>
      <c r="CO8" s="92">
        <f t="shared" si="42"/>
        <v>0</v>
      </c>
      <c r="CP8" s="92">
        <f t="shared" si="43"/>
        <v>0</v>
      </c>
      <c r="CQ8" s="92">
        <f t="shared" si="44"/>
        <v>0</v>
      </c>
      <c r="CR8" s="92">
        <f t="shared" si="45"/>
        <v>0</v>
      </c>
      <c r="CS8" s="92">
        <f t="shared" si="46"/>
        <v>0</v>
      </c>
      <c r="CT8" s="92">
        <f t="shared" si="47"/>
        <v>0</v>
      </c>
      <c r="CU8" s="127">
        <f t="shared" si="48"/>
        <v>0.15</v>
      </c>
      <c r="CV8" s="231">
        <f t="shared" si="49"/>
        <v>4.0168560351326432E-2</v>
      </c>
      <c r="CW8" s="188">
        <f t="shared" si="50"/>
        <v>0.34703034374775699</v>
      </c>
      <c r="CX8" s="206">
        <f t="shared" si="51"/>
        <v>7.8470303437477567</v>
      </c>
      <c r="CY8" s="231">
        <f t="shared" si="52"/>
        <v>0.95577558279429131</v>
      </c>
      <c r="CZ8">
        <f t="shared" si="53"/>
        <v>50.32</v>
      </c>
      <c r="DA8">
        <f t="shared" si="54"/>
        <v>797.44951298897365</v>
      </c>
      <c r="DD8" s="22">
        <v>5</v>
      </c>
      <c r="DE8" s="22">
        <f t="shared" si="95"/>
        <v>31.415926535897931</v>
      </c>
      <c r="DF8" s="91">
        <f t="shared" si="96"/>
        <v>48.831572196073225</v>
      </c>
      <c r="DG8" s="93">
        <f t="shared" si="97"/>
        <v>-3.5032789478375075</v>
      </c>
      <c r="DH8" s="91">
        <f t="shared" si="98"/>
        <v>19.363875302976659</v>
      </c>
      <c r="DI8" s="92">
        <f t="shared" si="99"/>
        <v>90.407857472457309</v>
      </c>
      <c r="DJ8" s="92">
        <f t="shared" si="55"/>
        <v>26.356638615946558</v>
      </c>
      <c r="DK8" s="93">
        <f t="shared" si="100"/>
        <v>91.133232802842414</v>
      </c>
      <c r="DL8" s="91">
        <f t="shared" si="101"/>
        <v>68.195447499049891</v>
      </c>
      <c r="DM8" s="92">
        <f t="shared" si="102"/>
        <v>86.904578524619808</v>
      </c>
      <c r="DN8" s="92">
        <f t="shared" si="103"/>
        <v>75.188210812019776</v>
      </c>
      <c r="DO8" s="93">
        <f t="shared" si="104"/>
        <v>87.629953855004914</v>
      </c>
    </row>
    <row r="9" spans="1:119" ht="15" x14ac:dyDescent="0.25">
      <c r="A9" s="570" t="s">
        <v>282</v>
      </c>
      <c r="B9" s="570"/>
      <c r="E9" s="12" t="s">
        <v>277</v>
      </c>
      <c r="F9" s="258">
        <f>IF(AND(VinMax&lt;=Parts!E8,VinMin&gt;=Parts!D8),1,0)</f>
        <v>0</v>
      </c>
      <c r="G9" s="258">
        <f>IF(AND(Fsw_Input&gt;Parts!I8,Fsw_Input&lt;Parts!J8),1,0)</f>
        <v>1</v>
      </c>
      <c r="H9" s="258">
        <f>1</f>
        <v>1</v>
      </c>
      <c r="I9" s="12">
        <f>PRODUCT(F9:H9)</f>
        <v>0</v>
      </c>
      <c r="J9" s="12"/>
      <c r="K9" s="58">
        <v>5</v>
      </c>
      <c r="L9" s="131">
        <f t="shared" si="56"/>
        <v>11.4</v>
      </c>
      <c r="M9" s="130">
        <f t="shared" si="57"/>
        <v>0.65789473684210531</v>
      </c>
      <c r="N9" s="132">
        <f t="shared" si="0"/>
        <v>1.2146668318783442</v>
      </c>
      <c r="O9" s="52">
        <f t="shared" si="58"/>
        <v>0.85889915370355729</v>
      </c>
      <c r="P9" s="21">
        <f t="shared" si="59"/>
        <v>0.54162567016401186</v>
      </c>
      <c r="Q9" s="19">
        <f t="shared" si="60"/>
        <v>1.0832513403280235</v>
      </c>
      <c r="R9" s="6">
        <f t="shared" si="1"/>
        <v>1.0572585172941471</v>
      </c>
      <c r="S9" s="55">
        <f t="shared" si="61"/>
        <v>0.68928240728019108</v>
      </c>
      <c r="T9" s="133">
        <f t="shared" si="62"/>
        <v>0.20563256605273442</v>
      </c>
      <c r="U9" s="54">
        <f t="shared" si="2"/>
        <v>0.34618004708532812</v>
      </c>
      <c r="V9" s="21">
        <f t="shared" si="63"/>
        <v>2.8886702408747298</v>
      </c>
      <c r="W9" s="21">
        <f t="shared" si="64"/>
        <v>0.9812696267038824</v>
      </c>
      <c r="X9" s="63">
        <f t="shared" si="65"/>
        <v>0.84432818281257005</v>
      </c>
      <c r="Y9" s="54">
        <f t="shared" si="3"/>
        <v>0</v>
      </c>
      <c r="Z9" s="21">
        <f t="shared" si="4"/>
        <v>0</v>
      </c>
      <c r="AA9" s="21">
        <f t="shared" si="66"/>
        <v>0</v>
      </c>
      <c r="AB9" s="63">
        <f t="shared" si="67"/>
        <v>0</v>
      </c>
      <c r="AC9" s="52">
        <f t="shared" si="5"/>
        <v>0</v>
      </c>
      <c r="AD9" s="21">
        <f t="shared" si="6"/>
        <v>0</v>
      </c>
      <c r="AE9" s="21">
        <f t="shared" si="68"/>
        <v>0</v>
      </c>
      <c r="AF9" s="63">
        <f t="shared" si="69"/>
        <v>0</v>
      </c>
      <c r="AG9" s="52">
        <f t="shared" si="7"/>
        <v>0</v>
      </c>
      <c r="AH9" s="21">
        <f t="shared" si="8"/>
        <v>0</v>
      </c>
      <c r="AI9" s="21">
        <f t="shared" si="70"/>
        <v>0</v>
      </c>
      <c r="AJ9" s="63">
        <f t="shared" si="71"/>
        <v>0</v>
      </c>
      <c r="AK9" s="52">
        <f t="shared" si="9"/>
        <v>0</v>
      </c>
      <c r="AL9" s="21">
        <f t="shared" si="10"/>
        <v>0</v>
      </c>
      <c r="AM9" s="21">
        <f t="shared" si="72"/>
        <v>0</v>
      </c>
      <c r="AN9" s="63">
        <f t="shared" si="73"/>
        <v>0</v>
      </c>
      <c r="AO9" s="52">
        <f t="shared" si="74"/>
        <v>0</v>
      </c>
      <c r="AP9" s="21">
        <f t="shared" si="11"/>
        <v>0</v>
      </c>
      <c r="AQ9" s="21">
        <f t="shared" si="75"/>
        <v>0</v>
      </c>
      <c r="AR9" s="181">
        <f t="shared" si="76"/>
        <v>0</v>
      </c>
      <c r="AS9" s="52">
        <f t="shared" si="12"/>
        <v>0</v>
      </c>
      <c r="AT9" s="21">
        <f t="shared" si="13"/>
        <v>0</v>
      </c>
      <c r="AU9" s="21">
        <f t="shared" si="14"/>
        <v>0</v>
      </c>
      <c r="AV9" s="63">
        <f t="shared" si="15"/>
        <v>0</v>
      </c>
      <c r="AW9" s="182">
        <f t="shared" si="77"/>
        <v>0.38852979470856125</v>
      </c>
      <c r="AX9" s="52">
        <f t="shared" si="78"/>
        <v>0</v>
      </c>
      <c r="AY9" s="74">
        <f t="shared" si="79"/>
        <v>0</v>
      </c>
      <c r="AZ9" s="78">
        <f t="shared" si="80"/>
        <v>0</v>
      </c>
      <c r="BA9" s="87">
        <f t="shared" si="81"/>
        <v>0</v>
      </c>
      <c r="BB9" s="110">
        <f t="shared" si="82"/>
        <v>17871.758454157614</v>
      </c>
      <c r="BC9" s="69">
        <f t="shared" si="83"/>
        <v>13.403818840618211</v>
      </c>
      <c r="BD9" s="42">
        <f t="shared" si="84"/>
        <v>12928.9236132437</v>
      </c>
      <c r="BE9" s="79">
        <f t="shared" si="85"/>
        <v>9.6966927099327744</v>
      </c>
      <c r="BF9" s="117" t="e">
        <f t="shared" si="16"/>
        <v>#NUM!</v>
      </c>
      <c r="BG9" s="118" t="e">
        <f t="shared" si="17"/>
        <v>#NUM!</v>
      </c>
      <c r="BH9" s="117">
        <f t="shared" si="18"/>
        <v>3.9418515684774288E-4</v>
      </c>
      <c r="BI9" s="118">
        <f t="shared" si="19"/>
        <v>1.0542290881294061E-2</v>
      </c>
      <c r="BJ9" s="117">
        <f t="shared" si="20"/>
        <v>0</v>
      </c>
      <c r="BK9" s="118">
        <f t="shared" si="21"/>
        <v>0</v>
      </c>
      <c r="BL9" s="91">
        <f t="shared" si="22"/>
        <v>0</v>
      </c>
      <c r="BM9" s="93">
        <f t="shared" si="23"/>
        <v>0</v>
      </c>
      <c r="BN9" s="91">
        <f t="shared" si="24"/>
        <v>0</v>
      </c>
      <c r="BO9" s="93">
        <f t="shared" si="25"/>
        <v>0</v>
      </c>
      <c r="BP9" s="91">
        <f t="shared" si="26"/>
        <v>0</v>
      </c>
      <c r="BQ9" s="93">
        <f t="shared" si="27"/>
        <v>0</v>
      </c>
      <c r="BR9" s="91">
        <f t="shared" si="28"/>
        <v>0</v>
      </c>
      <c r="BS9" s="93">
        <f t="shared" si="29"/>
        <v>0</v>
      </c>
      <c r="BT9" s="188">
        <f t="shared" si="30"/>
        <v>0</v>
      </c>
      <c r="BU9" s="93">
        <f t="shared" si="31"/>
        <v>0</v>
      </c>
      <c r="BV9" s="117" t="e">
        <f t="shared" si="86"/>
        <v>#NUM!</v>
      </c>
      <c r="BW9" s="206" t="e">
        <f t="shared" si="87"/>
        <v>#NUM!</v>
      </c>
      <c r="BX9" s="206" t="e">
        <f t="shared" si="88"/>
        <v>#NUM!</v>
      </c>
      <c r="BY9" s="97" t="e">
        <f t="shared" si="89"/>
        <v>#NUM!</v>
      </c>
      <c r="BZ9" s="123" t="e">
        <f t="shared" si="90"/>
        <v>#NUM!</v>
      </c>
      <c r="CA9" s="91">
        <f t="shared" si="91"/>
        <v>3.0297783933518015E-2</v>
      </c>
      <c r="CB9" s="92">
        <f t="shared" si="32"/>
        <v>2.5000000000000001E-3</v>
      </c>
      <c r="CC9" s="92">
        <f t="shared" si="33"/>
        <v>0</v>
      </c>
      <c r="CD9" s="92">
        <f t="shared" si="34"/>
        <v>0</v>
      </c>
      <c r="CE9" s="92">
        <f t="shared" si="35"/>
        <v>0</v>
      </c>
      <c r="CF9" s="92">
        <f t="shared" si="36"/>
        <v>0</v>
      </c>
      <c r="CG9" s="92">
        <f t="shared" si="37"/>
        <v>0</v>
      </c>
      <c r="CH9" s="92">
        <f t="shared" si="38"/>
        <v>0</v>
      </c>
      <c r="CI9" s="127">
        <f t="shared" si="92"/>
        <v>3.2797783933518017E-2</v>
      </c>
      <c r="CJ9" s="91">
        <f t="shared" si="93"/>
        <v>2.1641274238227153E-3</v>
      </c>
      <c r="CK9" s="92">
        <f t="shared" si="39"/>
        <v>3.3750000000000009E-2</v>
      </c>
      <c r="CL9" s="92">
        <f t="shared" si="40"/>
        <v>8.1000000000000016E-2</v>
      </c>
      <c r="CM9" s="127">
        <f t="shared" si="94"/>
        <v>0.11691412742382273</v>
      </c>
      <c r="CN9" s="91">
        <f t="shared" si="41"/>
        <v>0.15</v>
      </c>
      <c r="CO9" s="92">
        <f t="shared" si="42"/>
        <v>0</v>
      </c>
      <c r="CP9" s="92">
        <f t="shared" si="43"/>
        <v>0</v>
      </c>
      <c r="CQ9" s="92">
        <f t="shared" si="44"/>
        <v>0</v>
      </c>
      <c r="CR9" s="92">
        <f t="shared" si="45"/>
        <v>0</v>
      </c>
      <c r="CS9" s="92">
        <f t="shared" si="46"/>
        <v>0</v>
      </c>
      <c r="CT9" s="92">
        <f t="shared" si="47"/>
        <v>0</v>
      </c>
      <c r="CU9" s="127">
        <f t="shared" si="48"/>
        <v>0.15</v>
      </c>
      <c r="CV9" s="231">
        <f t="shared" si="49"/>
        <v>4.0018096059489978E-2</v>
      </c>
      <c r="CW9" s="188">
        <f t="shared" si="50"/>
        <v>0.33973000741683068</v>
      </c>
      <c r="CX9" s="206">
        <f t="shared" si="51"/>
        <v>7.839730007416831</v>
      </c>
      <c r="CY9" s="231">
        <f t="shared" si="52"/>
        <v>0.95666559854798228</v>
      </c>
      <c r="CZ9">
        <f t="shared" si="53"/>
        <v>51.4</v>
      </c>
      <c r="DA9">
        <f t="shared" si="54"/>
        <v>798.52951298897347</v>
      </c>
      <c r="DD9" s="22">
        <v>6</v>
      </c>
      <c r="DE9" s="22">
        <f t="shared" si="95"/>
        <v>37.699111843077517</v>
      </c>
      <c r="DF9" s="91">
        <f t="shared" si="96"/>
        <v>48.824433449656127</v>
      </c>
      <c r="DG9" s="93">
        <f t="shared" si="97"/>
        <v>-4.2016290104229679</v>
      </c>
      <c r="DH9" s="91">
        <f t="shared" si="98"/>
        <v>17.780358189240925</v>
      </c>
      <c r="DI9" s="92">
        <f t="shared" si="99"/>
        <v>90.489424675816053</v>
      </c>
      <c r="DJ9" s="92">
        <f t="shared" si="55"/>
        <v>24.77378560933699</v>
      </c>
      <c r="DK9" s="93">
        <f t="shared" si="100"/>
        <v>91.359797447920016</v>
      </c>
      <c r="DL9" s="91">
        <f t="shared" si="101"/>
        <v>66.604791638897055</v>
      </c>
      <c r="DM9" s="92">
        <f t="shared" si="102"/>
        <v>86.287795665393091</v>
      </c>
      <c r="DN9" s="92">
        <f t="shared" si="103"/>
        <v>73.598219058993124</v>
      </c>
      <c r="DO9" s="93">
        <f t="shared" si="104"/>
        <v>87.158168437497054</v>
      </c>
    </row>
    <row r="10" spans="1:119" ht="15" x14ac:dyDescent="0.25">
      <c r="A10" t="s">
        <v>298</v>
      </c>
      <c r="B10" s="8">
        <f>IF(AND(Vout1&lt;&gt;0),((ABS(Vout1)+Vdiode1)*(1-D_spec)*Np)/(VinMin*D_spec),0)</f>
        <v>2.5500000000000003</v>
      </c>
      <c r="C10" s="12"/>
      <c r="E10" s="12" t="s">
        <v>424</v>
      </c>
      <c r="F10" s="258">
        <f>IF(AND(VinMax&lt;=Parts!E9,VinMin&gt;=Parts!D9),1,0)</f>
        <v>0</v>
      </c>
      <c r="G10" s="258">
        <f>IF(AND(Fsw_Input&gt;Parts!I9,Fsw_Input&lt;Parts!J9),1,0)</f>
        <v>1</v>
      </c>
      <c r="H10" s="258">
        <f>1</f>
        <v>1</v>
      </c>
      <c r="I10" s="12">
        <f>PRODUCT(F10:H10)</f>
        <v>0</v>
      </c>
      <c r="J10" s="12"/>
      <c r="K10" s="58">
        <v>6</v>
      </c>
      <c r="L10" s="131">
        <f t="shared" si="56"/>
        <v>12.48</v>
      </c>
      <c r="M10" s="130">
        <f t="shared" si="57"/>
        <v>0.60096153846153855</v>
      </c>
      <c r="N10" s="132">
        <f t="shared" si="0"/>
        <v>1.1095514329657952</v>
      </c>
      <c r="O10" s="52">
        <f t="shared" si="58"/>
        <v>0.78457134232536485</v>
      </c>
      <c r="P10" s="21">
        <f t="shared" si="59"/>
        <v>0.54162567016401186</v>
      </c>
      <c r="Q10" s="19">
        <f t="shared" si="60"/>
        <v>1.0832513403280235</v>
      </c>
      <c r="R10" s="6">
        <f t="shared" si="1"/>
        <v>1.0267590241943672</v>
      </c>
      <c r="S10" s="55">
        <f t="shared" si="61"/>
        <v>0.65878291418041124</v>
      </c>
      <c r="T10" s="133">
        <f t="shared" si="62"/>
        <v>0.269889157444266</v>
      </c>
      <c r="U10" s="54">
        <f t="shared" si="2"/>
        <v>0.34618004708532812</v>
      </c>
      <c r="V10" s="21">
        <f t="shared" si="63"/>
        <v>2.8886702408747298</v>
      </c>
      <c r="W10" s="21">
        <f t="shared" si="64"/>
        <v>0.9812696267038824</v>
      </c>
      <c r="X10" s="63">
        <f t="shared" si="65"/>
        <v>0.84432818281257005</v>
      </c>
      <c r="Y10" s="54">
        <f t="shared" si="3"/>
        <v>0</v>
      </c>
      <c r="Z10" s="21">
        <f t="shared" si="4"/>
        <v>0</v>
      </c>
      <c r="AA10" s="21">
        <f t="shared" si="66"/>
        <v>0</v>
      </c>
      <c r="AB10" s="63">
        <f t="shared" si="67"/>
        <v>0</v>
      </c>
      <c r="AC10" s="52">
        <f t="shared" si="5"/>
        <v>0</v>
      </c>
      <c r="AD10" s="21">
        <f t="shared" si="6"/>
        <v>0</v>
      </c>
      <c r="AE10" s="21">
        <f t="shared" si="68"/>
        <v>0</v>
      </c>
      <c r="AF10" s="63">
        <f t="shared" si="69"/>
        <v>0</v>
      </c>
      <c r="AG10" s="52">
        <f t="shared" si="7"/>
        <v>0</v>
      </c>
      <c r="AH10" s="21">
        <f t="shared" si="8"/>
        <v>0</v>
      </c>
      <c r="AI10" s="21">
        <f t="shared" si="70"/>
        <v>0</v>
      </c>
      <c r="AJ10" s="63">
        <f t="shared" si="71"/>
        <v>0</v>
      </c>
      <c r="AK10" s="52">
        <f t="shared" si="9"/>
        <v>0</v>
      </c>
      <c r="AL10" s="21">
        <f t="shared" si="10"/>
        <v>0</v>
      </c>
      <c r="AM10" s="21">
        <f t="shared" si="72"/>
        <v>0</v>
      </c>
      <c r="AN10" s="63">
        <f t="shared" si="73"/>
        <v>0</v>
      </c>
      <c r="AO10" s="52">
        <f t="shared" si="74"/>
        <v>0</v>
      </c>
      <c r="AP10" s="21">
        <f t="shared" si="11"/>
        <v>0</v>
      </c>
      <c r="AQ10" s="21">
        <f t="shared" si="75"/>
        <v>0</v>
      </c>
      <c r="AR10" s="181">
        <f t="shared" si="76"/>
        <v>0</v>
      </c>
      <c r="AS10" s="52">
        <f t="shared" si="12"/>
        <v>0</v>
      </c>
      <c r="AT10" s="21">
        <f t="shared" si="13"/>
        <v>0</v>
      </c>
      <c r="AU10" s="21">
        <f t="shared" si="14"/>
        <v>0</v>
      </c>
      <c r="AV10" s="63">
        <f t="shared" si="15"/>
        <v>0</v>
      </c>
      <c r="AW10" s="182">
        <f t="shared" si="77"/>
        <v>0.38852979470856125</v>
      </c>
      <c r="AX10" s="52">
        <f t="shared" si="78"/>
        <v>0</v>
      </c>
      <c r="AY10" s="74">
        <f t="shared" si="79"/>
        <v>0</v>
      </c>
      <c r="AZ10" s="78">
        <f t="shared" si="80"/>
        <v>0</v>
      </c>
      <c r="BA10" s="87">
        <f t="shared" si="81"/>
        <v>0</v>
      </c>
      <c r="BB10" s="110">
        <f t="shared" si="82"/>
        <v>17871.758454157614</v>
      </c>
      <c r="BC10" s="69">
        <f t="shared" si="83"/>
        <v>13.403818840618211</v>
      </c>
      <c r="BD10" s="42">
        <f t="shared" si="84"/>
        <v>12928.9236132437</v>
      </c>
      <c r="BE10" s="79">
        <f t="shared" si="85"/>
        <v>9.6966927099327744</v>
      </c>
      <c r="BF10" s="117" t="e">
        <f t="shared" si="16"/>
        <v>#NUM!</v>
      </c>
      <c r="BG10" s="118" t="e">
        <f t="shared" si="17"/>
        <v>#NUM!</v>
      </c>
      <c r="BH10" s="117">
        <f t="shared" si="18"/>
        <v>3.9418515684774288E-4</v>
      </c>
      <c r="BI10" s="118">
        <f t="shared" si="19"/>
        <v>1.0542290881294061E-2</v>
      </c>
      <c r="BJ10" s="117">
        <f t="shared" si="20"/>
        <v>0</v>
      </c>
      <c r="BK10" s="118">
        <f t="shared" si="21"/>
        <v>0</v>
      </c>
      <c r="BL10" s="91">
        <f t="shared" si="22"/>
        <v>0</v>
      </c>
      <c r="BM10" s="93">
        <f t="shared" si="23"/>
        <v>0</v>
      </c>
      <c r="BN10" s="91">
        <f t="shared" si="24"/>
        <v>0</v>
      </c>
      <c r="BO10" s="93">
        <f t="shared" si="25"/>
        <v>0</v>
      </c>
      <c r="BP10" s="91">
        <f t="shared" si="26"/>
        <v>0</v>
      </c>
      <c r="BQ10" s="93">
        <f t="shared" si="27"/>
        <v>0</v>
      </c>
      <c r="BR10" s="91">
        <f t="shared" si="28"/>
        <v>0</v>
      </c>
      <c r="BS10" s="93">
        <f t="shared" si="29"/>
        <v>0</v>
      </c>
      <c r="BT10" s="188">
        <f t="shared" si="30"/>
        <v>0</v>
      </c>
      <c r="BU10" s="93">
        <f t="shared" si="31"/>
        <v>0</v>
      </c>
      <c r="BV10" s="117" t="e">
        <f t="shared" si="86"/>
        <v>#NUM!</v>
      </c>
      <c r="BW10" s="206" t="e">
        <f t="shared" si="87"/>
        <v>#NUM!</v>
      </c>
      <c r="BX10" s="206" t="e">
        <f t="shared" si="88"/>
        <v>#NUM!</v>
      </c>
      <c r="BY10" s="97" t="e">
        <f t="shared" si="89"/>
        <v>#NUM!</v>
      </c>
      <c r="BZ10" s="123" t="e">
        <f t="shared" si="90"/>
        <v>#NUM!</v>
      </c>
      <c r="CA10" s="91">
        <f t="shared" si="91"/>
        <v>2.5280833949704151E-2</v>
      </c>
      <c r="CB10" s="92">
        <f t="shared" si="32"/>
        <v>2.5000000000000001E-3</v>
      </c>
      <c r="CC10" s="92">
        <f t="shared" si="33"/>
        <v>0</v>
      </c>
      <c r="CD10" s="92">
        <f t="shared" si="34"/>
        <v>0</v>
      </c>
      <c r="CE10" s="92">
        <f t="shared" si="35"/>
        <v>0</v>
      </c>
      <c r="CF10" s="92">
        <f t="shared" si="36"/>
        <v>0</v>
      </c>
      <c r="CG10" s="92">
        <f t="shared" si="37"/>
        <v>0</v>
      </c>
      <c r="CH10" s="92">
        <f t="shared" si="38"/>
        <v>0</v>
      </c>
      <c r="CI10" s="127">
        <f t="shared" si="92"/>
        <v>2.778083394970415E-2</v>
      </c>
      <c r="CJ10" s="91">
        <f t="shared" si="93"/>
        <v>1.8057738535502963E-3</v>
      </c>
      <c r="CK10" s="92">
        <f t="shared" si="39"/>
        <v>3.3750000000000009E-2</v>
      </c>
      <c r="CL10" s="92">
        <f t="shared" si="40"/>
        <v>8.1000000000000016E-2</v>
      </c>
      <c r="CM10" s="127">
        <f t="shared" si="94"/>
        <v>0.11655577385355032</v>
      </c>
      <c r="CN10" s="91">
        <f t="shared" si="41"/>
        <v>0.15</v>
      </c>
      <c r="CO10" s="92">
        <f t="shared" si="42"/>
        <v>0</v>
      </c>
      <c r="CP10" s="92">
        <f t="shared" si="43"/>
        <v>0</v>
      </c>
      <c r="CQ10" s="92">
        <f t="shared" si="44"/>
        <v>0</v>
      </c>
      <c r="CR10" s="92">
        <f t="shared" si="45"/>
        <v>0</v>
      </c>
      <c r="CS10" s="92">
        <f t="shared" si="46"/>
        <v>0</v>
      </c>
      <c r="CT10" s="92">
        <f t="shared" si="47"/>
        <v>0</v>
      </c>
      <c r="CU10" s="127">
        <f t="shared" si="48"/>
        <v>0.15</v>
      </c>
      <c r="CV10" s="231">
        <f t="shared" si="49"/>
        <v>3.9865083125320049E-2</v>
      </c>
      <c r="CW10" s="188">
        <f t="shared" si="50"/>
        <v>0.33420169092857455</v>
      </c>
      <c r="CX10" s="206">
        <f t="shared" si="51"/>
        <v>7.834201690928575</v>
      </c>
      <c r="CY10" s="231">
        <f t="shared" si="52"/>
        <v>0.95734068331230793</v>
      </c>
      <c r="CZ10">
        <f t="shared" si="53"/>
        <v>52.480000000000004</v>
      </c>
      <c r="DA10">
        <f t="shared" si="54"/>
        <v>799.60951298897351</v>
      </c>
      <c r="DD10" s="22">
        <v>7</v>
      </c>
      <c r="DE10" s="22">
        <f t="shared" si="95"/>
        <v>43.982297150257104</v>
      </c>
      <c r="DF10" s="91">
        <f t="shared" si="96"/>
        <v>48.816011850135482</v>
      </c>
      <c r="DG10" s="93">
        <f t="shared" si="97"/>
        <v>-4.8987282329416191</v>
      </c>
      <c r="DH10" s="91">
        <f t="shared" si="98"/>
        <v>16.441549801687525</v>
      </c>
      <c r="DI10" s="92">
        <f t="shared" si="99"/>
        <v>90.570989538749785</v>
      </c>
      <c r="DJ10" s="92">
        <f t="shared" si="55"/>
        <v>23.435761902187011</v>
      </c>
      <c r="DK10" s="93">
        <f t="shared" si="100"/>
        <v>91.586317438102427</v>
      </c>
      <c r="DL10" s="91">
        <f t="shared" si="101"/>
        <v>65.257561651823011</v>
      </c>
      <c r="DM10" s="92">
        <f t="shared" si="102"/>
        <v>85.672261305808163</v>
      </c>
      <c r="DN10" s="92">
        <f t="shared" si="103"/>
        <v>72.251773752322492</v>
      </c>
      <c r="DO10" s="93">
        <f t="shared" si="104"/>
        <v>86.687589205160805</v>
      </c>
    </row>
    <row r="11" spans="1:119" ht="15" x14ac:dyDescent="0.25">
      <c r="A11" t="s">
        <v>299</v>
      </c>
      <c r="B11" s="8">
        <f>IF(n1_Flyback_Calc&lt;&gt;0,n1_Flyback/Np,0)</f>
        <v>0.375</v>
      </c>
      <c r="C11" s="12"/>
      <c r="E11" s="12" t="s">
        <v>425</v>
      </c>
      <c r="F11" s="258">
        <f>IF(AND(VinMax&lt;=Parts!E10,VinMin&gt;=Parts!D10),1,0)</f>
        <v>1</v>
      </c>
      <c r="G11" s="258">
        <f>IF(AND(Fsw_Input&gt;Parts!I10,Fsw_Input&lt;Parts!J10),1,0)</f>
        <v>1</v>
      </c>
      <c r="H11" s="258">
        <f>1</f>
        <v>1</v>
      </c>
      <c r="I11" s="12">
        <f>PRODUCT(F11:H11)</f>
        <v>1</v>
      </c>
      <c r="J11" s="12"/>
      <c r="K11" s="58">
        <v>7</v>
      </c>
      <c r="L11" s="131">
        <f t="shared" si="56"/>
        <v>13.56</v>
      </c>
      <c r="M11" s="130">
        <f t="shared" si="57"/>
        <v>0.55309734513274333</v>
      </c>
      <c r="N11" s="132">
        <f t="shared" si="0"/>
        <v>1.0211800798977231</v>
      </c>
      <c r="O11" s="52">
        <f t="shared" si="58"/>
        <v>0.72208335930830037</v>
      </c>
      <c r="P11" s="21">
        <f t="shared" si="59"/>
        <v>0.54162567016401175</v>
      </c>
      <c r="Q11" s="19">
        <f t="shared" si="60"/>
        <v>1.0832513403280237</v>
      </c>
      <c r="R11" s="6">
        <f t="shared" si="1"/>
        <v>0.99998003428812055</v>
      </c>
      <c r="S11" s="55">
        <f t="shared" si="61"/>
        <v>0.63200392427416463</v>
      </c>
      <c r="T11" s="133">
        <f t="shared" si="62"/>
        <v>0.30579778793355422</v>
      </c>
      <c r="U11" s="54">
        <f t="shared" si="2"/>
        <v>0.34618004708532812</v>
      </c>
      <c r="V11" s="21">
        <f t="shared" si="63"/>
        <v>2.8886702408747298</v>
      </c>
      <c r="W11" s="21">
        <f t="shared" si="64"/>
        <v>0.9812696267038824</v>
      </c>
      <c r="X11" s="63">
        <f t="shared" si="65"/>
        <v>0.84432818281257005</v>
      </c>
      <c r="Y11" s="54">
        <f t="shared" si="3"/>
        <v>0</v>
      </c>
      <c r="Z11" s="21">
        <f t="shared" si="4"/>
        <v>0</v>
      </c>
      <c r="AA11" s="21">
        <f t="shared" si="66"/>
        <v>0</v>
      </c>
      <c r="AB11" s="63">
        <f t="shared" si="67"/>
        <v>0</v>
      </c>
      <c r="AC11" s="52">
        <f t="shared" si="5"/>
        <v>0</v>
      </c>
      <c r="AD11" s="21">
        <f t="shared" si="6"/>
        <v>0</v>
      </c>
      <c r="AE11" s="21">
        <f t="shared" si="68"/>
        <v>0</v>
      </c>
      <c r="AF11" s="63">
        <f t="shared" si="69"/>
        <v>0</v>
      </c>
      <c r="AG11" s="52">
        <f t="shared" si="7"/>
        <v>0</v>
      </c>
      <c r="AH11" s="21">
        <f t="shared" si="8"/>
        <v>0</v>
      </c>
      <c r="AI11" s="21">
        <f t="shared" si="70"/>
        <v>0</v>
      </c>
      <c r="AJ11" s="63">
        <f t="shared" si="71"/>
        <v>0</v>
      </c>
      <c r="AK11" s="52">
        <f t="shared" si="9"/>
        <v>0</v>
      </c>
      <c r="AL11" s="21">
        <f t="shared" si="10"/>
        <v>0</v>
      </c>
      <c r="AM11" s="21">
        <f t="shared" si="72"/>
        <v>0</v>
      </c>
      <c r="AN11" s="63">
        <f t="shared" si="73"/>
        <v>0</v>
      </c>
      <c r="AO11" s="52">
        <f t="shared" si="74"/>
        <v>0</v>
      </c>
      <c r="AP11" s="21">
        <f t="shared" si="11"/>
        <v>0</v>
      </c>
      <c r="AQ11" s="21">
        <f t="shared" si="75"/>
        <v>0</v>
      </c>
      <c r="AR11" s="181">
        <f t="shared" si="76"/>
        <v>0</v>
      </c>
      <c r="AS11" s="52">
        <f t="shared" si="12"/>
        <v>0</v>
      </c>
      <c r="AT11" s="21">
        <f t="shared" si="13"/>
        <v>0</v>
      </c>
      <c r="AU11" s="21">
        <f t="shared" si="14"/>
        <v>0</v>
      </c>
      <c r="AV11" s="63">
        <f t="shared" si="15"/>
        <v>0</v>
      </c>
      <c r="AW11" s="182">
        <f t="shared" si="77"/>
        <v>0.38852979470856125</v>
      </c>
      <c r="AX11" s="52">
        <f t="shared" si="78"/>
        <v>0</v>
      </c>
      <c r="AY11" s="74">
        <f t="shared" si="79"/>
        <v>0</v>
      </c>
      <c r="AZ11" s="78">
        <f t="shared" si="80"/>
        <v>0</v>
      </c>
      <c r="BA11" s="87">
        <f t="shared" si="81"/>
        <v>0</v>
      </c>
      <c r="BB11" s="110">
        <f t="shared" si="82"/>
        <v>17871.758454157614</v>
      </c>
      <c r="BC11" s="69">
        <f t="shared" si="83"/>
        <v>13.403818840618211</v>
      </c>
      <c r="BD11" s="42">
        <f t="shared" si="84"/>
        <v>12928.9236132437</v>
      </c>
      <c r="BE11" s="79">
        <f t="shared" si="85"/>
        <v>9.6966927099327744</v>
      </c>
      <c r="BF11" s="117" t="e">
        <f t="shared" si="16"/>
        <v>#NUM!</v>
      </c>
      <c r="BG11" s="118" t="e">
        <f t="shared" si="17"/>
        <v>#NUM!</v>
      </c>
      <c r="BH11" s="117">
        <f t="shared" si="18"/>
        <v>3.9418515684774288E-4</v>
      </c>
      <c r="BI11" s="118">
        <f t="shared" si="19"/>
        <v>1.0542290881294061E-2</v>
      </c>
      <c r="BJ11" s="117">
        <f t="shared" si="20"/>
        <v>0</v>
      </c>
      <c r="BK11" s="118">
        <f t="shared" si="21"/>
        <v>0</v>
      </c>
      <c r="BL11" s="91">
        <f t="shared" si="22"/>
        <v>0</v>
      </c>
      <c r="BM11" s="93">
        <f t="shared" si="23"/>
        <v>0</v>
      </c>
      <c r="BN11" s="91">
        <f t="shared" si="24"/>
        <v>0</v>
      </c>
      <c r="BO11" s="93">
        <f t="shared" si="25"/>
        <v>0</v>
      </c>
      <c r="BP11" s="91">
        <f t="shared" si="26"/>
        <v>0</v>
      </c>
      <c r="BQ11" s="93">
        <f t="shared" si="27"/>
        <v>0</v>
      </c>
      <c r="BR11" s="91">
        <f t="shared" si="28"/>
        <v>0</v>
      </c>
      <c r="BS11" s="93">
        <f t="shared" si="29"/>
        <v>0</v>
      </c>
      <c r="BT11" s="188">
        <f t="shared" si="30"/>
        <v>0</v>
      </c>
      <c r="BU11" s="93">
        <f t="shared" si="31"/>
        <v>0</v>
      </c>
      <c r="BV11" s="117" t="e">
        <f t="shared" si="86"/>
        <v>#NUM!</v>
      </c>
      <c r="BW11" s="206" t="e">
        <f t="shared" si="87"/>
        <v>#NUM!</v>
      </c>
      <c r="BX11" s="206" t="e">
        <f t="shared" si="88"/>
        <v>#NUM!</v>
      </c>
      <c r="BY11" s="97" t="e">
        <f t="shared" si="89"/>
        <v>#NUM!</v>
      </c>
      <c r="BZ11" s="123" t="e">
        <f t="shared" si="90"/>
        <v>#NUM!</v>
      </c>
      <c r="CA11" s="91">
        <f t="shared" si="91"/>
        <v>2.1414167123502234E-2</v>
      </c>
      <c r="CB11" s="92">
        <f t="shared" si="32"/>
        <v>2.5000000000000001E-3</v>
      </c>
      <c r="CC11" s="92">
        <f t="shared" si="33"/>
        <v>0</v>
      </c>
      <c r="CD11" s="92">
        <f t="shared" si="34"/>
        <v>0</v>
      </c>
      <c r="CE11" s="92">
        <f t="shared" si="35"/>
        <v>0</v>
      </c>
      <c r="CF11" s="92">
        <f t="shared" si="36"/>
        <v>0</v>
      </c>
      <c r="CG11" s="92">
        <f t="shared" si="37"/>
        <v>0</v>
      </c>
      <c r="CH11" s="92">
        <f t="shared" si="38"/>
        <v>0</v>
      </c>
      <c r="CI11" s="127">
        <f t="shared" si="92"/>
        <v>2.3914167123502233E-2</v>
      </c>
      <c r="CJ11" s="91">
        <f t="shared" si="93"/>
        <v>1.5295833659644451E-3</v>
      </c>
      <c r="CK11" s="92">
        <f t="shared" si="39"/>
        <v>3.3750000000000002E-2</v>
      </c>
      <c r="CL11" s="92">
        <f t="shared" si="40"/>
        <v>8.1000000000000016E-2</v>
      </c>
      <c r="CM11" s="127">
        <f t="shared" si="94"/>
        <v>0.11627958336596447</v>
      </c>
      <c r="CN11" s="91">
        <f t="shared" si="41"/>
        <v>0.15</v>
      </c>
      <c r="CO11" s="92">
        <f t="shared" si="42"/>
        <v>0</v>
      </c>
      <c r="CP11" s="92">
        <f t="shared" si="43"/>
        <v>0</v>
      </c>
      <c r="CQ11" s="92">
        <f t="shared" si="44"/>
        <v>0</v>
      </c>
      <c r="CR11" s="92">
        <f t="shared" si="45"/>
        <v>0</v>
      </c>
      <c r="CS11" s="92">
        <f t="shared" si="46"/>
        <v>0</v>
      </c>
      <c r="CT11" s="92">
        <f t="shared" si="47"/>
        <v>0</v>
      </c>
      <c r="CU11" s="127">
        <f t="shared" si="48"/>
        <v>0.15</v>
      </c>
      <c r="CV11" s="231">
        <f t="shared" si="49"/>
        <v>3.970945624036077E-2</v>
      </c>
      <c r="CW11" s="188">
        <f t="shared" si="50"/>
        <v>0.32990320672982743</v>
      </c>
      <c r="CX11" s="206">
        <f t="shared" si="51"/>
        <v>7.8299032067298278</v>
      </c>
      <c r="CY11" s="231">
        <f t="shared" si="52"/>
        <v>0.95786624712726021</v>
      </c>
      <c r="CZ11">
        <f t="shared" si="53"/>
        <v>53.56</v>
      </c>
      <c r="DA11">
        <f t="shared" si="54"/>
        <v>800.68951298897355</v>
      </c>
      <c r="DD11" s="22">
        <v>8</v>
      </c>
      <c r="DE11" s="22">
        <f t="shared" si="95"/>
        <v>50.26548245743669</v>
      </c>
      <c r="DF11" s="91">
        <f t="shared" si="96"/>
        <v>48.806314869240701</v>
      </c>
      <c r="DG11" s="93">
        <f t="shared" si="97"/>
        <v>-5.5943737894808212</v>
      </c>
      <c r="DH11" s="91">
        <f t="shared" si="98"/>
        <v>15.281857863299928</v>
      </c>
      <c r="DI11" s="92">
        <f t="shared" si="99"/>
        <v>90.652551671348377</v>
      </c>
      <c r="DJ11" s="92">
        <f t="shared" si="55"/>
        <v>22.276975130843446</v>
      </c>
      <c r="DK11" s="93">
        <f t="shared" si="100"/>
        <v>91.812785352790328</v>
      </c>
      <c r="DL11" s="91">
        <f t="shared" si="101"/>
        <v>64.088172732540627</v>
      </c>
      <c r="DM11" s="92">
        <f t="shared" si="102"/>
        <v>85.05817788186755</v>
      </c>
      <c r="DN11" s="92">
        <f t="shared" si="103"/>
        <v>71.083290000084148</v>
      </c>
      <c r="DO11" s="93">
        <f t="shared" si="104"/>
        <v>86.218411563309502</v>
      </c>
    </row>
    <row r="12" spans="1:119" ht="15" x14ac:dyDescent="0.25">
      <c r="A12" t="s">
        <v>300</v>
      </c>
      <c r="B12" s="8">
        <f>IF(AND(Vout2&lt;&gt;0,n1_Flyback&lt;&gt;0,IoutPri_FBB=0),((ABS(Vout2)+Vdiode2)*(n1_Flyback/Np))/(ABS(Vout1)+Vdiode1),0)</f>
        <v>0</v>
      </c>
      <c r="C12" s="12"/>
      <c r="E12" s="12" t="s">
        <v>426</v>
      </c>
      <c r="F12" s="258">
        <f>IF(AND(VinMax&lt;=Parts!E11,VinMin&gt;=Parts!D11),1,0)</f>
        <v>1</v>
      </c>
      <c r="G12" s="258">
        <f>IF(AND(Fsw_Input&gt;Parts!I11,Fsw_Input&lt;Parts!J11),1,0)</f>
        <v>1</v>
      </c>
      <c r="H12" s="258">
        <f>IF('Flyback DCM'!B31&lt;Parts!AA11,1,0)</f>
        <v>0</v>
      </c>
      <c r="I12" s="12">
        <f>PRODUCT(F12:H12)</f>
        <v>0</v>
      </c>
      <c r="J12" s="12">
        <f>IF(SUM(I9:I12)&gt;=1,1,0)</f>
        <v>1</v>
      </c>
      <c r="K12" s="58">
        <v>8</v>
      </c>
      <c r="L12" s="131">
        <f t="shared" si="56"/>
        <v>14.64</v>
      </c>
      <c r="M12" s="130">
        <f t="shared" si="57"/>
        <v>0.51229508196721318</v>
      </c>
      <c r="N12" s="132">
        <f t="shared" si="0"/>
        <v>0.94584712318395658</v>
      </c>
      <c r="O12" s="52">
        <f t="shared" si="58"/>
        <v>0.66881491476916344</v>
      </c>
      <c r="P12" s="21">
        <f t="shared" si="59"/>
        <v>0.54162567016401186</v>
      </c>
      <c r="Q12" s="19">
        <f t="shared" si="60"/>
        <v>1.0832513403280235</v>
      </c>
      <c r="R12" s="6">
        <f t="shared" si="1"/>
        <v>0.97622185759982438</v>
      </c>
      <c r="S12" s="55">
        <f t="shared" si="61"/>
        <v>0.60824574758586847</v>
      </c>
      <c r="T12" s="133">
        <f t="shared" si="62"/>
        <v>0.32789729862946165</v>
      </c>
      <c r="U12" s="54">
        <f t="shared" si="2"/>
        <v>0.34618004708532812</v>
      </c>
      <c r="V12" s="21">
        <f t="shared" si="63"/>
        <v>2.8886702408747298</v>
      </c>
      <c r="W12" s="21">
        <f t="shared" si="64"/>
        <v>0.9812696267038824</v>
      </c>
      <c r="X12" s="63">
        <f t="shared" si="65"/>
        <v>0.84432818281257005</v>
      </c>
      <c r="Y12" s="54">
        <f t="shared" si="3"/>
        <v>0</v>
      </c>
      <c r="Z12" s="21">
        <f t="shared" si="4"/>
        <v>0</v>
      </c>
      <c r="AA12" s="21">
        <f t="shared" si="66"/>
        <v>0</v>
      </c>
      <c r="AB12" s="63">
        <f t="shared" si="67"/>
        <v>0</v>
      </c>
      <c r="AC12" s="52">
        <f t="shared" si="5"/>
        <v>0</v>
      </c>
      <c r="AD12" s="21">
        <f t="shared" si="6"/>
        <v>0</v>
      </c>
      <c r="AE12" s="21">
        <f t="shared" si="68"/>
        <v>0</v>
      </c>
      <c r="AF12" s="63">
        <f t="shared" si="69"/>
        <v>0</v>
      </c>
      <c r="AG12" s="52">
        <f t="shared" si="7"/>
        <v>0</v>
      </c>
      <c r="AH12" s="21">
        <f t="shared" si="8"/>
        <v>0</v>
      </c>
      <c r="AI12" s="21">
        <f t="shared" si="70"/>
        <v>0</v>
      </c>
      <c r="AJ12" s="63">
        <f t="shared" si="71"/>
        <v>0</v>
      </c>
      <c r="AK12" s="52">
        <f t="shared" si="9"/>
        <v>0</v>
      </c>
      <c r="AL12" s="21">
        <f t="shared" si="10"/>
        <v>0</v>
      </c>
      <c r="AM12" s="21">
        <f t="shared" si="72"/>
        <v>0</v>
      </c>
      <c r="AN12" s="63">
        <f t="shared" si="73"/>
        <v>0</v>
      </c>
      <c r="AO12" s="52">
        <f t="shared" si="74"/>
        <v>0</v>
      </c>
      <c r="AP12" s="21">
        <f t="shared" si="11"/>
        <v>0</v>
      </c>
      <c r="AQ12" s="21">
        <f t="shared" si="75"/>
        <v>0</v>
      </c>
      <c r="AR12" s="181">
        <f t="shared" si="76"/>
        <v>0</v>
      </c>
      <c r="AS12" s="52">
        <f t="shared" si="12"/>
        <v>0</v>
      </c>
      <c r="AT12" s="21">
        <f t="shared" si="13"/>
        <v>0</v>
      </c>
      <c r="AU12" s="21">
        <f t="shared" si="14"/>
        <v>0</v>
      </c>
      <c r="AV12" s="63">
        <f t="shared" si="15"/>
        <v>0</v>
      </c>
      <c r="AW12" s="182">
        <f t="shared" si="77"/>
        <v>0.38852979470856125</v>
      </c>
      <c r="AX12" s="52">
        <f t="shared" si="78"/>
        <v>0</v>
      </c>
      <c r="AY12" s="74">
        <f t="shared" si="79"/>
        <v>0</v>
      </c>
      <c r="AZ12" s="78">
        <f t="shared" si="80"/>
        <v>0</v>
      </c>
      <c r="BA12" s="87">
        <f t="shared" si="81"/>
        <v>0</v>
      </c>
      <c r="BB12" s="110">
        <f t="shared" si="82"/>
        <v>17871.758454157614</v>
      </c>
      <c r="BC12" s="69">
        <f t="shared" si="83"/>
        <v>13.403818840618211</v>
      </c>
      <c r="BD12" s="42">
        <f t="shared" si="84"/>
        <v>12928.9236132437</v>
      </c>
      <c r="BE12" s="79">
        <f t="shared" si="85"/>
        <v>9.6966927099327744</v>
      </c>
      <c r="BF12" s="117" t="e">
        <f t="shared" si="16"/>
        <v>#NUM!</v>
      </c>
      <c r="BG12" s="118" t="e">
        <f t="shared" si="17"/>
        <v>#NUM!</v>
      </c>
      <c r="BH12" s="117">
        <f t="shared" si="18"/>
        <v>3.9418515684774288E-4</v>
      </c>
      <c r="BI12" s="118">
        <f t="shared" si="19"/>
        <v>1.0542290881294061E-2</v>
      </c>
      <c r="BJ12" s="117">
        <f t="shared" si="20"/>
        <v>0</v>
      </c>
      <c r="BK12" s="118">
        <f t="shared" si="21"/>
        <v>0</v>
      </c>
      <c r="BL12" s="91">
        <f t="shared" si="22"/>
        <v>0</v>
      </c>
      <c r="BM12" s="93">
        <f t="shared" si="23"/>
        <v>0</v>
      </c>
      <c r="BN12" s="91">
        <f t="shared" si="24"/>
        <v>0</v>
      </c>
      <c r="BO12" s="93">
        <f t="shared" si="25"/>
        <v>0</v>
      </c>
      <c r="BP12" s="91">
        <f t="shared" si="26"/>
        <v>0</v>
      </c>
      <c r="BQ12" s="93">
        <f t="shared" si="27"/>
        <v>0</v>
      </c>
      <c r="BR12" s="91">
        <f t="shared" si="28"/>
        <v>0</v>
      </c>
      <c r="BS12" s="93">
        <f t="shared" si="29"/>
        <v>0</v>
      </c>
      <c r="BT12" s="188">
        <f t="shared" si="30"/>
        <v>0</v>
      </c>
      <c r="BU12" s="93">
        <f t="shared" si="31"/>
        <v>0</v>
      </c>
      <c r="BV12" s="117" t="e">
        <f t="shared" si="86"/>
        <v>#NUM!</v>
      </c>
      <c r="BW12" s="206" t="e">
        <f t="shared" si="87"/>
        <v>#NUM!</v>
      </c>
      <c r="BX12" s="206" t="e">
        <f t="shared" si="88"/>
        <v>#NUM!</v>
      </c>
      <c r="BY12" s="97" t="e">
        <f t="shared" si="89"/>
        <v>#NUM!</v>
      </c>
      <c r="BZ12" s="123" t="e">
        <f t="shared" si="90"/>
        <v>#NUM!</v>
      </c>
      <c r="CA12" s="91">
        <f t="shared" si="91"/>
        <v>1.8371237570545557E-2</v>
      </c>
      <c r="CB12" s="92">
        <f t="shared" si="32"/>
        <v>2.5000000000000001E-3</v>
      </c>
      <c r="CC12" s="92">
        <f t="shared" si="33"/>
        <v>0</v>
      </c>
      <c r="CD12" s="92">
        <f t="shared" si="34"/>
        <v>0</v>
      </c>
      <c r="CE12" s="92">
        <f t="shared" si="35"/>
        <v>0</v>
      </c>
      <c r="CF12" s="92">
        <f t="shared" si="36"/>
        <v>0</v>
      </c>
      <c r="CG12" s="92">
        <f t="shared" si="37"/>
        <v>0</v>
      </c>
      <c r="CH12" s="92">
        <f t="shared" si="38"/>
        <v>0</v>
      </c>
      <c r="CI12" s="127">
        <f t="shared" si="92"/>
        <v>2.0871237570545556E-2</v>
      </c>
      <c r="CJ12" s="91">
        <f t="shared" si="93"/>
        <v>1.3122312550389683E-3</v>
      </c>
      <c r="CK12" s="92">
        <f t="shared" si="39"/>
        <v>3.3750000000000009E-2</v>
      </c>
      <c r="CL12" s="92">
        <f t="shared" si="40"/>
        <v>8.1000000000000016E-2</v>
      </c>
      <c r="CM12" s="127">
        <f t="shared" si="94"/>
        <v>0.11606223125503899</v>
      </c>
      <c r="CN12" s="91">
        <f t="shared" si="41"/>
        <v>0.15</v>
      </c>
      <c r="CO12" s="92">
        <f t="shared" si="42"/>
        <v>0</v>
      </c>
      <c r="CP12" s="92">
        <f t="shared" si="43"/>
        <v>0</v>
      </c>
      <c r="CQ12" s="92">
        <f t="shared" si="44"/>
        <v>0</v>
      </c>
      <c r="CR12" s="92">
        <f t="shared" si="45"/>
        <v>0</v>
      </c>
      <c r="CS12" s="92">
        <f t="shared" si="46"/>
        <v>0</v>
      </c>
      <c r="CT12" s="92">
        <f t="shared" si="47"/>
        <v>0</v>
      </c>
      <c r="CU12" s="127">
        <f t="shared" si="48"/>
        <v>0.15</v>
      </c>
      <c r="CV12" s="231">
        <f t="shared" si="49"/>
        <v>3.9551147845577658E-2</v>
      </c>
      <c r="CW12" s="188">
        <f t="shared" si="50"/>
        <v>0.32648461667116224</v>
      </c>
      <c r="CX12" s="206">
        <f t="shared" si="51"/>
        <v>7.8264846166711619</v>
      </c>
      <c r="CY12" s="231">
        <f t="shared" si="52"/>
        <v>0.95828464084939002</v>
      </c>
      <c r="CZ12">
        <f t="shared" si="53"/>
        <v>54.64</v>
      </c>
      <c r="DA12">
        <f t="shared" si="54"/>
        <v>801.76951298897347</v>
      </c>
      <c r="DD12" s="22">
        <v>9</v>
      </c>
      <c r="DE12" s="22">
        <f t="shared" si="95"/>
        <v>56.548667764616276</v>
      </c>
      <c r="DF12" s="91">
        <f t="shared" si="96"/>
        <v>48.795351068419038</v>
      </c>
      <c r="DG12" s="93">
        <f t="shared" si="97"/>
        <v>-6.288365414192425</v>
      </c>
      <c r="DH12" s="91">
        <f t="shared" si="98"/>
        <v>14.258974009624286</v>
      </c>
      <c r="DI12" s="92">
        <f t="shared" si="99"/>
        <v>90.734110683775825</v>
      </c>
      <c r="DJ12" s="92">
        <f t="shared" si="55"/>
        <v>21.255116830963658</v>
      </c>
      <c r="DK12" s="93">
        <f t="shared" si="100"/>
        <v>92.039193781464718</v>
      </c>
      <c r="DL12" s="91">
        <f t="shared" si="101"/>
        <v>63.05432507804332</v>
      </c>
      <c r="DM12" s="92">
        <f t="shared" si="102"/>
        <v>84.445745269583398</v>
      </c>
      <c r="DN12" s="92">
        <f t="shared" si="103"/>
        <v>70.050467899382696</v>
      </c>
      <c r="DO12" s="93">
        <f t="shared" si="104"/>
        <v>85.750828367272291</v>
      </c>
    </row>
    <row r="13" spans="1:119" ht="15" x14ac:dyDescent="0.25">
      <c r="A13" t="s">
        <v>301</v>
      </c>
      <c r="B13" s="8">
        <f>IF(n2_Flyback_Calc&lt;&gt;0,n2_Flyback/Np,0)</f>
        <v>0</v>
      </c>
      <c r="C13" s="12"/>
      <c r="E13" s="12" t="s">
        <v>960</v>
      </c>
      <c r="F13" s="258">
        <f>IF(AND(VinMax&lt;=Parts!E12,VinMin&gt;=Parts!D12),1,0)</f>
        <v>0</v>
      </c>
      <c r="G13" s="258">
        <f>IF(AND(Fsw_Input&gt;Parts!I12,Fsw_Input&lt;Parts!J12),1,0)</f>
        <v>1</v>
      </c>
      <c r="H13" s="258">
        <f>1</f>
        <v>1</v>
      </c>
      <c r="I13" s="12">
        <f>PRODUCT(F13:H13)</f>
        <v>0</v>
      </c>
      <c r="J13" s="12"/>
      <c r="K13" s="58">
        <v>9</v>
      </c>
      <c r="L13" s="131">
        <f t="shared" si="56"/>
        <v>15.72</v>
      </c>
      <c r="M13" s="130">
        <f t="shared" si="57"/>
        <v>0.47709923664122139</v>
      </c>
      <c r="N13" s="132">
        <f t="shared" si="0"/>
        <v>0.88086525975910468</v>
      </c>
      <c r="O13" s="52">
        <f t="shared" si="58"/>
        <v>0.62286579848731261</v>
      </c>
      <c r="P13" s="21">
        <f t="shared" si="59"/>
        <v>0.54162567016401175</v>
      </c>
      <c r="Q13" s="19">
        <f t="shared" si="60"/>
        <v>1.0832513403280237</v>
      </c>
      <c r="R13" s="6">
        <f t="shared" si="1"/>
        <v>0.95495617075485262</v>
      </c>
      <c r="S13" s="55">
        <f t="shared" si="61"/>
        <v>0.5869800607408967</v>
      </c>
      <c r="T13" s="133">
        <f t="shared" si="62"/>
        <v>0.34193845952707724</v>
      </c>
      <c r="U13" s="54">
        <f t="shared" si="2"/>
        <v>0.34618004708532812</v>
      </c>
      <c r="V13" s="21">
        <f t="shared" si="63"/>
        <v>2.8886702408747298</v>
      </c>
      <c r="W13" s="21">
        <f t="shared" si="64"/>
        <v>0.9812696267038824</v>
      </c>
      <c r="X13" s="63">
        <f t="shared" si="65"/>
        <v>0.84432818281257005</v>
      </c>
      <c r="Y13" s="54">
        <f t="shared" si="3"/>
        <v>0</v>
      </c>
      <c r="Z13" s="21">
        <f t="shared" si="4"/>
        <v>0</v>
      </c>
      <c r="AA13" s="21">
        <f t="shared" si="66"/>
        <v>0</v>
      </c>
      <c r="AB13" s="63">
        <f t="shared" si="67"/>
        <v>0</v>
      </c>
      <c r="AC13" s="52">
        <f t="shared" si="5"/>
        <v>0</v>
      </c>
      <c r="AD13" s="21">
        <f t="shared" si="6"/>
        <v>0</v>
      </c>
      <c r="AE13" s="21">
        <f t="shared" si="68"/>
        <v>0</v>
      </c>
      <c r="AF13" s="63">
        <f t="shared" si="69"/>
        <v>0</v>
      </c>
      <c r="AG13" s="52">
        <f t="shared" si="7"/>
        <v>0</v>
      </c>
      <c r="AH13" s="21">
        <f t="shared" si="8"/>
        <v>0</v>
      </c>
      <c r="AI13" s="21">
        <f t="shared" si="70"/>
        <v>0</v>
      </c>
      <c r="AJ13" s="63">
        <f t="shared" si="71"/>
        <v>0</v>
      </c>
      <c r="AK13" s="52">
        <f t="shared" si="9"/>
        <v>0</v>
      </c>
      <c r="AL13" s="21">
        <f t="shared" si="10"/>
        <v>0</v>
      </c>
      <c r="AM13" s="21">
        <f t="shared" si="72"/>
        <v>0</v>
      </c>
      <c r="AN13" s="63">
        <f t="shared" si="73"/>
        <v>0</v>
      </c>
      <c r="AO13" s="52">
        <f t="shared" si="74"/>
        <v>0</v>
      </c>
      <c r="AP13" s="21">
        <f t="shared" si="11"/>
        <v>0</v>
      </c>
      <c r="AQ13" s="21">
        <f t="shared" si="75"/>
        <v>0</v>
      </c>
      <c r="AR13" s="181">
        <f t="shared" si="76"/>
        <v>0</v>
      </c>
      <c r="AS13" s="52">
        <f t="shared" si="12"/>
        <v>0</v>
      </c>
      <c r="AT13" s="21">
        <f t="shared" si="13"/>
        <v>0</v>
      </c>
      <c r="AU13" s="21">
        <f t="shared" si="14"/>
        <v>0</v>
      </c>
      <c r="AV13" s="63">
        <f t="shared" si="15"/>
        <v>0</v>
      </c>
      <c r="AW13" s="182">
        <f t="shared" si="77"/>
        <v>0.38852979470856125</v>
      </c>
      <c r="AX13" s="52">
        <f t="shared" si="78"/>
        <v>0</v>
      </c>
      <c r="AY13" s="74">
        <f t="shared" si="79"/>
        <v>0</v>
      </c>
      <c r="AZ13" s="78">
        <f t="shared" si="80"/>
        <v>0</v>
      </c>
      <c r="BA13" s="87">
        <f t="shared" si="81"/>
        <v>0</v>
      </c>
      <c r="BB13" s="110">
        <f t="shared" si="82"/>
        <v>17871.758454157614</v>
      </c>
      <c r="BC13" s="69">
        <f t="shared" si="83"/>
        <v>13.403818840618211</v>
      </c>
      <c r="BD13" s="42">
        <f t="shared" si="84"/>
        <v>12928.9236132437</v>
      </c>
      <c r="BE13" s="79">
        <f t="shared" si="85"/>
        <v>9.6966927099327744</v>
      </c>
      <c r="BF13" s="117" t="e">
        <f t="shared" si="16"/>
        <v>#NUM!</v>
      </c>
      <c r="BG13" s="118" t="e">
        <f t="shared" si="17"/>
        <v>#NUM!</v>
      </c>
      <c r="BH13" s="117">
        <f t="shared" si="18"/>
        <v>3.9418515684774288E-4</v>
      </c>
      <c r="BI13" s="118">
        <f t="shared" si="19"/>
        <v>1.0542290881294061E-2</v>
      </c>
      <c r="BJ13" s="117">
        <f t="shared" si="20"/>
        <v>0</v>
      </c>
      <c r="BK13" s="118">
        <f t="shared" si="21"/>
        <v>0</v>
      </c>
      <c r="BL13" s="91">
        <f t="shared" si="22"/>
        <v>0</v>
      </c>
      <c r="BM13" s="93">
        <f t="shared" si="23"/>
        <v>0</v>
      </c>
      <c r="BN13" s="91">
        <f t="shared" si="24"/>
        <v>0</v>
      </c>
      <c r="BO13" s="93">
        <f t="shared" si="25"/>
        <v>0</v>
      </c>
      <c r="BP13" s="91">
        <f t="shared" si="26"/>
        <v>0</v>
      </c>
      <c r="BQ13" s="93">
        <f t="shared" si="27"/>
        <v>0</v>
      </c>
      <c r="BR13" s="91">
        <f t="shared" si="28"/>
        <v>0</v>
      </c>
      <c r="BS13" s="93">
        <f t="shared" si="29"/>
        <v>0</v>
      </c>
      <c r="BT13" s="188">
        <f t="shared" si="30"/>
        <v>0</v>
      </c>
      <c r="BU13" s="93">
        <f t="shared" si="31"/>
        <v>0</v>
      </c>
      <c r="BV13" s="117" t="e">
        <f t="shared" si="86"/>
        <v>#NUM!</v>
      </c>
      <c r="BW13" s="206" t="e">
        <f t="shared" si="87"/>
        <v>#NUM!</v>
      </c>
      <c r="BX13" s="206" t="e">
        <f t="shared" si="88"/>
        <v>#NUM!</v>
      </c>
      <c r="BY13" s="97" t="e">
        <f t="shared" si="89"/>
        <v>#NUM!</v>
      </c>
      <c r="BZ13" s="123" t="e">
        <f t="shared" si="90"/>
        <v>#NUM!</v>
      </c>
      <c r="CA13" s="91">
        <f t="shared" si="91"/>
        <v>1.5933657712254534E-2</v>
      </c>
      <c r="CB13" s="92">
        <f t="shared" si="32"/>
        <v>2.5000000000000001E-3</v>
      </c>
      <c r="CC13" s="92">
        <f t="shared" si="33"/>
        <v>0</v>
      </c>
      <c r="CD13" s="92">
        <f t="shared" si="34"/>
        <v>0</v>
      </c>
      <c r="CE13" s="92">
        <f t="shared" si="35"/>
        <v>0</v>
      </c>
      <c r="CF13" s="92">
        <f t="shared" si="36"/>
        <v>0</v>
      </c>
      <c r="CG13" s="92">
        <f t="shared" si="37"/>
        <v>0</v>
      </c>
      <c r="CH13" s="92">
        <f t="shared" si="38"/>
        <v>0</v>
      </c>
      <c r="CI13" s="127">
        <f t="shared" si="92"/>
        <v>1.8433657712254532E-2</v>
      </c>
      <c r="CJ13" s="91">
        <f t="shared" si="93"/>
        <v>1.1381184080181809E-3</v>
      </c>
      <c r="CK13" s="92">
        <f t="shared" si="39"/>
        <v>3.3750000000000009E-2</v>
      </c>
      <c r="CL13" s="92">
        <f t="shared" si="40"/>
        <v>8.1000000000000016E-2</v>
      </c>
      <c r="CM13" s="127">
        <f t="shared" si="94"/>
        <v>0.11588811840801821</v>
      </c>
      <c r="CN13" s="91">
        <f t="shared" si="41"/>
        <v>0.15</v>
      </c>
      <c r="CO13" s="92">
        <f t="shared" si="42"/>
        <v>0</v>
      </c>
      <c r="CP13" s="92">
        <f t="shared" si="43"/>
        <v>0</v>
      </c>
      <c r="CQ13" s="92">
        <f t="shared" si="44"/>
        <v>0</v>
      </c>
      <c r="CR13" s="92">
        <f t="shared" si="45"/>
        <v>0</v>
      </c>
      <c r="CS13" s="92">
        <f t="shared" si="46"/>
        <v>0</v>
      </c>
      <c r="CT13" s="92">
        <f t="shared" si="47"/>
        <v>0</v>
      </c>
      <c r="CU13" s="127">
        <f t="shared" si="48"/>
        <v>0.15</v>
      </c>
      <c r="CV13" s="231">
        <f t="shared" si="49"/>
        <v>3.9390088033569505E-2</v>
      </c>
      <c r="CW13" s="188">
        <f t="shared" si="50"/>
        <v>0.32371186415384223</v>
      </c>
      <c r="CX13" s="206">
        <f t="shared" si="51"/>
        <v>7.8237118641538421</v>
      </c>
      <c r="CY13" s="231">
        <f t="shared" si="52"/>
        <v>0.95862426048216276</v>
      </c>
      <c r="CZ13">
        <f t="shared" si="53"/>
        <v>55.72</v>
      </c>
      <c r="DA13">
        <f t="shared" si="54"/>
        <v>802.84951298897363</v>
      </c>
      <c r="DD13" s="22">
        <v>10</v>
      </c>
      <c r="DE13" s="22">
        <f t="shared" si="95"/>
        <v>62.831853071795862</v>
      </c>
      <c r="DF13" s="91">
        <f t="shared" si="96"/>
        <v>48.783130073938551</v>
      </c>
      <c r="DG13" s="93">
        <f t="shared" si="97"/>
        <v>-6.980505734444522</v>
      </c>
      <c r="DH13" s="91">
        <f t="shared" si="98"/>
        <v>13.344010385520582</v>
      </c>
      <c r="DI13" s="92">
        <f t="shared" si="99"/>
        <v>90.815666186280808</v>
      </c>
      <c r="DJ13" s="92">
        <f t="shared" si="55"/>
        <v>20.341299034299567</v>
      </c>
      <c r="DK13" s="93">
        <f t="shared" si="100"/>
        <v>92.265535325113063</v>
      </c>
      <c r="DL13" s="91">
        <f t="shared" si="101"/>
        <v>62.127140459459135</v>
      </c>
      <c r="DM13" s="92">
        <f t="shared" si="102"/>
        <v>83.835160451836288</v>
      </c>
      <c r="DN13" s="92">
        <f t="shared" si="103"/>
        <v>69.124429108238118</v>
      </c>
      <c r="DO13" s="93">
        <f t="shared" si="104"/>
        <v>85.285029590668543</v>
      </c>
    </row>
    <row r="14" spans="1:119" ht="15" x14ac:dyDescent="0.25">
      <c r="A14" t="s">
        <v>302</v>
      </c>
      <c r="B14" s="8">
        <f>IF(AND(Vout3&lt;&gt;0,n1_Flyback&lt;&gt;0,IoutPri_FBB=0),((ABS(Vout3)+Vdiode3)*(n1_Flyback/Np))/(ABS(Vout1)+Vdiode1),0)</f>
        <v>0</v>
      </c>
      <c r="C14" s="12"/>
      <c r="K14" s="58">
        <v>10</v>
      </c>
      <c r="L14" s="131">
        <f t="shared" si="56"/>
        <v>16.8</v>
      </c>
      <c r="M14" s="130">
        <f t="shared" si="57"/>
        <v>0.4464285714285714</v>
      </c>
      <c r="N14" s="132">
        <f t="shared" si="0"/>
        <v>0.82423820734601938</v>
      </c>
      <c r="O14" s="52">
        <f t="shared" si="58"/>
        <v>0.58282442572741389</v>
      </c>
      <c r="P14" s="21">
        <f t="shared" si="59"/>
        <v>0.54162567016401175</v>
      </c>
      <c r="Q14" s="19">
        <f t="shared" si="60"/>
        <v>1.0832513403280237</v>
      </c>
      <c r="R14" s="6">
        <f t="shared" si="1"/>
        <v>0.93577557482568274</v>
      </c>
      <c r="S14" s="55">
        <f t="shared" si="61"/>
        <v>0.56779946481172683</v>
      </c>
      <c r="T14" s="133">
        <f t="shared" si="62"/>
        <v>0.35085290771593775</v>
      </c>
      <c r="U14" s="54">
        <f t="shared" si="2"/>
        <v>0.34618004708532812</v>
      </c>
      <c r="V14" s="21">
        <f t="shared" si="63"/>
        <v>2.8886702408747298</v>
      </c>
      <c r="W14" s="21">
        <f t="shared" si="64"/>
        <v>0.9812696267038824</v>
      </c>
      <c r="X14" s="63">
        <f t="shared" si="65"/>
        <v>0.84432818281257005</v>
      </c>
      <c r="Y14" s="54">
        <f t="shared" si="3"/>
        <v>0</v>
      </c>
      <c r="Z14" s="21">
        <f t="shared" si="4"/>
        <v>0</v>
      </c>
      <c r="AA14" s="21">
        <f t="shared" si="66"/>
        <v>0</v>
      </c>
      <c r="AB14" s="63">
        <f t="shared" si="67"/>
        <v>0</v>
      </c>
      <c r="AC14" s="52">
        <f t="shared" si="5"/>
        <v>0</v>
      </c>
      <c r="AD14" s="21">
        <f t="shared" si="6"/>
        <v>0</v>
      </c>
      <c r="AE14" s="21">
        <f t="shared" si="68"/>
        <v>0</v>
      </c>
      <c r="AF14" s="63">
        <f t="shared" si="69"/>
        <v>0</v>
      </c>
      <c r="AG14" s="52">
        <f t="shared" si="7"/>
        <v>0</v>
      </c>
      <c r="AH14" s="21">
        <f t="shared" si="8"/>
        <v>0</v>
      </c>
      <c r="AI14" s="21">
        <f t="shared" si="70"/>
        <v>0</v>
      </c>
      <c r="AJ14" s="63">
        <f t="shared" si="71"/>
        <v>0</v>
      </c>
      <c r="AK14" s="52">
        <f t="shared" si="9"/>
        <v>0</v>
      </c>
      <c r="AL14" s="21">
        <f t="shared" si="10"/>
        <v>0</v>
      </c>
      <c r="AM14" s="21">
        <f t="shared" si="72"/>
        <v>0</v>
      </c>
      <c r="AN14" s="63">
        <f t="shared" si="73"/>
        <v>0</v>
      </c>
      <c r="AO14" s="52">
        <f t="shared" si="74"/>
        <v>0</v>
      </c>
      <c r="AP14" s="21">
        <f t="shared" si="11"/>
        <v>0</v>
      </c>
      <c r="AQ14" s="21">
        <f t="shared" si="75"/>
        <v>0</v>
      </c>
      <c r="AR14" s="181">
        <f t="shared" si="76"/>
        <v>0</v>
      </c>
      <c r="AS14" s="52">
        <f t="shared" si="12"/>
        <v>0</v>
      </c>
      <c r="AT14" s="21">
        <f t="shared" si="13"/>
        <v>0</v>
      </c>
      <c r="AU14" s="21">
        <f t="shared" si="14"/>
        <v>0</v>
      </c>
      <c r="AV14" s="63">
        <f t="shared" si="15"/>
        <v>0</v>
      </c>
      <c r="AW14" s="182">
        <f t="shared" si="77"/>
        <v>0.38852979470856125</v>
      </c>
      <c r="AX14" s="52">
        <f t="shared" si="78"/>
        <v>0</v>
      </c>
      <c r="AY14" s="74">
        <f t="shared" si="79"/>
        <v>0</v>
      </c>
      <c r="AZ14" s="78">
        <f t="shared" si="80"/>
        <v>0</v>
      </c>
      <c r="BA14" s="87">
        <f t="shared" si="81"/>
        <v>0</v>
      </c>
      <c r="BB14" s="110">
        <f t="shared" si="82"/>
        <v>17871.758454157614</v>
      </c>
      <c r="BC14" s="69">
        <f t="shared" si="83"/>
        <v>13.403818840618211</v>
      </c>
      <c r="BD14" s="42">
        <f t="shared" si="84"/>
        <v>12928.9236132437</v>
      </c>
      <c r="BE14" s="79">
        <f t="shared" si="85"/>
        <v>9.6966927099327744</v>
      </c>
      <c r="BF14" s="117" t="e">
        <f t="shared" si="16"/>
        <v>#NUM!</v>
      </c>
      <c r="BG14" s="118" t="e">
        <f t="shared" si="17"/>
        <v>#NUM!</v>
      </c>
      <c r="BH14" s="117">
        <f t="shared" si="18"/>
        <v>3.9418515684774288E-4</v>
      </c>
      <c r="BI14" s="118">
        <f t="shared" si="19"/>
        <v>1.0542290881294061E-2</v>
      </c>
      <c r="BJ14" s="117">
        <f t="shared" si="20"/>
        <v>0</v>
      </c>
      <c r="BK14" s="118">
        <f t="shared" si="21"/>
        <v>0</v>
      </c>
      <c r="BL14" s="91">
        <f t="shared" si="22"/>
        <v>0</v>
      </c>
      <c r="BM14" s="93">
        <f t="shared" si="23"/>
        <v>0</v>
      </c>
      <c r="BN14" s="91">
        <f t="shared" si="24"/>
        <v>0</v>
      </c>
      <c r="BO14" s="93">
        <f t="shared" si="25"/>
        <v>0</v>
      </c>
      <c r="BP14" s="91">
        <f t="shared" si="26"/>
        <v>0</v>
      </c>
      <c r="BQ14" s="93">
        <f t="shared" si="27"/>
        <v>0</v>
      </c>
      <c r="BR14" s="91">
        <f t="shared" si="28"/>
        <v>0</v>
      </c>
      <c r="BS14" s="93">
        <f t="shared" si="29"/>
        <v>0</v>
      </c>
      <c r="BT14" s="188">
        <f t="shared" si="30"/>
        <v>0</v>
      </c>
      <c r="BU14" s="93">
        <f t="shared" si="31"/>
        <v>0</v>
      </c>
      <c r="BV14" s="117" t="e">
        <f t="shared" si="86"/>
        <v>#NUM!</v>
      </c>
      <c r="BW14" s="206" t="e">
        <f t="shared" si="87"/>
        <v>#NUM!</v>
      </c>
      <c r="BX14" s="206" t="e">
        <f t="shared" si="88"/>
        <v>#NUM!</v>
      </c>
      <c r="BY14" s="97" t="e">
        <f t="shared" si="89"/>
        <v>#NUM!</v>
      </c>
      <c r="BZ14" s="123" t="e">
        <f t="shared" si="90"/>
        <v>#NUM!</v>
      </c>
      <c r="CA14" s="91">
        <f t="shared" si="91"/>
        <v>1.3950892857142858E-2</v>
      </c>
      <c r="CB14" s="92">
        <f t="shared" si="32"/>
        <v>2.5000000000000001E-3</v>
      </c>
      <c r="CC14" s="92">
        <f t="shared" si="33"/>
        <v>0</v>
      </c>
      <c r="CD14" s="92">
        <f t="shared" si="34"/>
        <v>0</v>
      </c>
      <c r="CE14" s="92">
        <f t="shared" si="35"/>
        <v>0</v>
      </c>
      <c r="CF14" s="92">
        <f t="shared" si="36"/>
        <v>0</v>
      </c>
      <c r="CG14" s="92">
        <f t="shared" si="37"/>
        <v>0</v>
      </c>
      <c r="CH14" s="92">
        <f t="shared" si="38"/>
        <v>0</v>
      </c>
      <c r="CI14" s="127">
        <f t="shared" si="92"/>
        <v>1.6450892857142858E-2</v>
      </c>
      <c r="CJ14" s="91">
        <f t="shared" si="93"/>
        <v>9.9649234693877553E-4</v>
      </c>
      <c r="CK14" s="92">
        <f t="shared" si="39"/>
        <v>3.3750000000000002E-2</v>
      </c>
      <c r="CL14" s="92">
        <f t="shared" si="40"/>
        <v>8.1000000000000016E-2</v>
      </c>
      <c r="CM14" s="127">
        <f t="shared" si="94"/>
        <v>0.11574649234693879</v>
      </c>
      <c r="CN14" s="91">
        <f t="shared" si="41"/>
        <v>0.15</v>
      </c>
      <c r="CO14" s="92">
        <f t="shared" si="42"/>
        <v>0</v>
      </c>
      <c r="CP14" s="92">
        <f t="shared" si="43"/>
        <v>0</v>
      </c>
      <c r="CQ14" s="92">
        <f t="shared" si="44"/>
        <v>0</v>
      </c>
      <c r="CR14" s="92">
        <f t="shared" si="45"/>
        <v>0</v>
      </c>
      <c r="CS14" s="92">
        <f t="shared" si="46"/>
        <v>0</v>
      </c>
      <c r="CT14" s="92">
        <f t="shared" si="47"/>
        <v>0</v>
      </c>
      <c r="CU14" s="127">
        <f t="shared" si="48"/>
        <v>0.15</v>
      </c>
      <c r="CV14" s="231">
        <f t="shared" si="49"/>
        <v>3.9226204445636521E-2</v>
      </c>
      <c r="CW14" s="188">
        <f t="shared" si="50"/>
        <v>0.32142358964971818</v>
      </c>
      <c r="CX14" s="206">
        <f t="shared" si="51"/>
        <v>7.8214235896497186</v>
      </c>
      <c r="CY14" s="231">
        <f t="shared" si="52"/>
        <v>0.95890472035358543</v>
      </c>
      <c r="CZ14">
        <f t="shared" si="53"/>
        <v>56.8</v>
      </c>
      <c r="DA14">
        <f t="shared" si="54"/>
        <v>803.92951298897356</v>
      </c>
      <c r="DD14" s="22">
        <v>20</v>
      </c>
      <c r="DE14" s="22">
        <f t="shared" si="95"/>
        <v>125.66370614359172</v>
      </c>
      <c r="DF14" s="91">
        <f t="shared" si="96"/>
        <v>48.594590635002717</v>
      </c>
      <c r="DG14" s="93">
        <f t="shared" si="97"/>
        <v>-13.759331188972373</v>
      </c>
      <c r="DH14" s="91">
        <f t="shared" si="98"/>
        <v>7.3263492050873218</v>
      </c>
      <c r="DI14" s="92">
        <f t="shared" si="99"/>
        <v>91.630942502031729</v>
      </c>
      <c r="DJ14" s="92">
        <f t="shared" si="55"/>
        <v>14.341676929973088</v>
      </c>
      <c r="DK14" s="93">
        <f t="shared" si="100"/>
        <v>94.523655352434503</v>
      </c>
      <c r="DL14" s="91">
        <f t="shared" si="101"/>
        <v>55.920939840090043</v>
      </c>
      <c r="DM14" s="92">
        <f t="shared" si="102"/>
        <v>77.871611313059361</v>
      </c>
      <c r="DN14" s="92">
        <f t="shared" si="103"/>
        <v>62.936267564975807</v>
      </c>
      <c r="DO14" s="93">
        <f t="shared" si="104"/>
        <v>80.764324163462135</v>
      </c>
    </row>
    <row r="15" spans="1:119" ht="15" x14ac:dyDescent="0.25">
      <c r="A15" t="s">
        <v>303</v>
      </c>
      <c r="B15" s="8">
        <f>IF(n3_Flyback_Calc&lt;&gt;0,n3_Flyback/Np,0)</f>
        <v>0</v>
      </c>
      <c r="C15" s="12"/>
      <c r="K15" s="58">
        <v>11</v>
      </c>
      <c r="L15" s="131">
        <f t="shared" si="56"/>
        <v>17.880000000000003</v>
      </c>
      <c r="M15" s="130">
        <f t="shared" si="57"/>
        <v>0.4194630872483221</v>
      </c>
      <c r="N15" s="132">
        <f t="shared" si="0"/>
        <v>0.77445200690229998</v>
      </c>
      <c r="O15" s="52">
        <f t="shared" si="58"/>
        <v>0.54762026578414724</v>
      </c>
      <c r="P15" s="21">
        <f t="shared" si="59"/>
        <v>0.54162567016401175</v>
      </c>
      <c r="Q15" s="19">
        <f t="shared" si="60"/>
        <v>1.0832513403280237</v>
      </c>
      <c r="R15" s="6">
        <f t="shared" si="1"/>
        <v>0.91836018892605265</v>
      </c>
      <c r="S15" s="55">
        <f t="shared" si="61"/>
        <v>0.55038407891209673</v>
      </c>
      <c r="T15" s="133">
        <f t="shared" si="62"/>
        <v>0.35633320467790208</v>
      </c>
      <c r="U15" s="54">
        <f t="shared" si="2"/>
        <v>0.34618004708532812</v>
      </c>
      <c r="V15" s="21">
        <f t="shared" si="63"/>
        <v>2.8886702408747298</v>
      </c>
      <c r="W15" s="21">
        <f t="shared" si="64"/>
        <v>0.9812696267038824</v>
      </c>
      <c r="X15" s="63">
        <f t="shared" si="65"/>
        <v>0.84432818281257005</v>
      </c>
      <c r="Y15" s="54">
        <f t="shared" si="3"/>
        <v>0</v>
      </c>
      <c r="Z15" s="21">
        <f t="shared" si="4"/>
        <v>0</v>
      </c>
      <c r="AA15" s="21">
        <f t="shared" si="66"/>
        <v>0</v>
      </c>
      <c r="AB15" s="63">
        <f t="shared" si="67"/>
        <v>0</v>
      </c>
      <c r="AC15" s="52">
        <f t="shared" si="5"/>
        <v>0</v>
      </c>
      <c r="AD15" s="21">
        <f t="shared" si="6"/>
        <v>0</v>
      </c>
      <c r="AE15" s="21">
        <f t="shared" si="68"/>
        <v>0</v>
      </c>
      <c r="AF15" s="63">
        <f t="shared" si="69"/>
        <v>0</v>
      </c>
      <c r="AG15" s="52">
        <f t="shared" si="7"/>
        <v>0</v>
      </c>
      <c r="AH15" s="21">
        <f t="shared" si="8"/>
        <v>0</v>
      </c>
      <c r="AI15" s="21">
        <f t="shared" si="70"/>
        <v>0</v>
      </c>
      <c r="AJ15" s="63">
        <f t="shared" si="71"/>
        <v>0</v>
      </c>
      <c r="AK15" s="52">
        <f t="shared" si="9"/>
        <v>0</v>
      </c>
      <c r="AL15" s="21">
        <f t="shared" si="10"/>
        <v>0</v>
      </c>
      <c r="AM15" s="21">
        <f t="shared" si="72"/>
        <v>0</v>
      </c>
      <c r="AN15" s="63">
        <f t="shared" si="73"/>
        <v>0</v>
      </c>
      <c r="AO15" s="52">
        <f t="shared" si="74"/>
        <v>0</v>
      </c>
      <c r="AP15" s="21">
        <f t="shared" si="11"/>
        <v>0</v>
      </c>
      <c r="AQ15" s="21">
        <f t="shared" si="75"/>
        <v>0</v>
      </c>
      <c r="AR15" s="181">
        <f t="shared" si="76"/>
        <v>0</v>
      </c>
      <c r="AS15" s="52">
        <f t="shared" si="12"/>
        <v>0</v>
      </c>
      <c r="AT15" s="21">
        <f t="shared" si="13"/>
        <v>0</v>
      </c>
      <c r="AU15" s="21">
        <f t="shared" si="14"/>
        <v>0</v>
      </c>
      <c r="AV15" s="63">
        <f t="shared" si="15"/>
        <v>0</v>
      </c>
      <c r="AW15" s="182">
        <f t="shared" si="77"/>
        <v>0.38852979470856125</v>
      </c>
      <c r="AX15" s="52">
        <f t="shared" si="78"/>
        <v>0</v>
      </c>
      <c r="AY15" s="74">
        <f t="shared" si="79"/>
        <v>0</v>
      </c>
      <c r="AZ15" s="78">
        <f t="shared" si="80"/>
        <v>0</v>
      </c>
      <c r="BA15" s="87">
        <f t="shared" si="81"/>
        <v>0</v>
      </c>
      <c r="BB15" s="110">
        <f t="shared" si="82"/>
        <v>17871.758454157614</v>
      </c>
      <c r="BC15" s="69">
        <f t="shared" si="83"/>
        <v>13.403818840618211</v>
      </c>
      <c r="BD15" s="42">
        <f t="shared" si="84"/>
        <v>12928.9236132437</v>
      </c>
      <c r="BE15" s="79">
        <f t="shared" si="85"/>
        <v>9.6966927099327744</v>
      </c>
      <c r="BF15" s="117" t="e">
        <f t="shared" si="16"/>
        <v>#NUM!</v>
      </c>
      <c r="BG15" s="118" t="e">
        <f t="shared" si="17"/>
        <v>#NUM!</v>
      </c>
      <c r="BH15" s="117">
        <f t="shared" si="18"/>
        <v>3.9418515684774288E-4</v>
      </c>
      <c r="BI15" s="118">
        <f t="shared" si="19"/>
        <v>1.0542290881294061E-2</v>
      </c>
      <c r="BJ15" s="117">
        <f t="shared" si="20"/>
        <v>0</v>
      </c>
      <c r="BK15" s="118">
        <f t="shared" si="21"/>
        <v>0</v>
      </c>
      <c r="BL15" s="91">
        <f t="shared" si="22"/>
        <v>0</v>
      </c>
      <c r="BM15" s="93">
        <f t="shared" si="23"/>
        <v>0</v>
      </c>
      <c r="BN15" s="91">
        <f t="shared" si="24"/>
        <v>0</v>
      </c>
      <c r="BO15" s="93">
        <f t="shared" si="25"/>
        <v>0</v>
      </c>
      <c r="BP15" s="91">
        <f t="shared" si="26"/>
        <v>0</v>
      </c>
      <c r="BQ15" s="93">
        <f t="shared" si="27"/>
        <v>0</v>
      </c>
      <c r="BR15" s="91">
        <f t="shared" si="28"/>
        <v>0</v>
      </c>
      <c r="BS15" s="93">
        <f t="shared" si="29"/>
        <v>0</v>
      </c>
      <c r="BT15" s="188">
        <f t="shared" si="30"/>
        <v>0</v>
      </c>
      <c r="BU15" s="93">
        <f t="shared" si="31"/>
        <v>0</v>
      </c>
      <c r="BV15" s="117" t="e">
        <f t="shared" si="86"/>
        <v>#NUM!</v>
      </c>
      <c r="BW15" s="206" t="e">
        <f t="shared" si="87"/>
        <v>#NUM!</v>
      </c>
      <c r="BX15" s="206" t="e">
        <f t="shared" si="88"/>
        <v>#NUM!</v>
      </c>
      <c r="BY15" s="97" t="e">
        <f t="shared" si="89"/>
        <v>#NUM!</v>
      </c>
      <c r="BZ15" s="123" t="e">
        <f t="shared" si="90"/>
        <v>#NUM!</v>
      </c>
      <c r="CA15" s="91">
        <f t="shared" si="91"/>
        <v>1.2316449709472545E-2</v>
      </c>
      <c r="CB15" s="92">
        <f t="shared" si="32"/>
        <v>2.5000000000000001E-3</v>
      </c>
      <c r="CC15" s="92">
        <f t="shared" si="33"/>
        <v>0</v>
      </c>
      <c r="CD15" s="92">
        <f t="shared" si="34"/>
        <v>0</v>
      </c>
      <c r="CE15" s="92">
        <f t="shared" si="35"/>
        <v>0</v>
      </c>
      <c r="CF15" s="92">
        <f t="shared" si="36"/>
        <v>0</v>
      </c>
      <c r="CG15" s="92">
        <f t="shared" si="37"/>
        <v>0</v>
      </c>
      <c r="CH15" s="92">
        <f t="shared" si="38"/>
        <v>0</v>
      </c>
      <c r="CI15" s="127">
        <f t="shared" si="92"/>
        <v>1.4816449709472546E-2</v>
      </c>
      <c r="CJ15" s="91">
        <f t="shared" si="93"/>
        <v>8.7974640781946737E-4</v>
      </c>
      <c r="CK15" s="92">
        <f t="shared" si="39"/>
        <v>3.3750000000000002E-2</v>
      </c>
      <c r="CL15" s="92">
        <f t="shared" si="40"/>
        <v>8.1000000000000016E-2</v>
      </c>
      <c r="CM15" s="127">
        <f t="shared" si="94"/>
        <v>0.11562974640781948</v>
      </c>
      <c r="CN15" s="91">
        <f t="shared" si="41"/>
        <v>0.15</v>
      </c>
      <c r="CO15" s="92">
        <f t="shared" si="42"/>
        <v>0</v>
      </c>
      <c r="CP15" s="92">
        <f t="shared" si="43"/>
        <v>0</v>
      </c>
      <c r="CQ15" s="92">
        <f t="shared" si="44"/>
        <v>0</v>
      </c>
      <c r="CR15" s="92">
        <f t="shared" si="45"/>
        <v>0</v>
      </c>
      <c r="CS15" s="92">
        <f t="shared" si="46"/>
        <v>0</v>
      </c>
      <c r="CT15" s="92">
        <f t="shared" si="47"/>
        <v>0</v>
      </c>
      <c r="CU15" s="127">
        <f t="shared" si="48"/>
        <v>0.15</v>
      </c>
      <c r="CV15" s="231">
        <f t="shared" si="49"/>
        <v>3.9059422163387002E-2</v>
      </c>
      <c r="CW15" s="188">
        <f t="shared" si="50"/>
        <v>0.31950561828067903</v>
      </c>
      <c r="CX15" s="206">
        <f t="shared" si="51"/>
        <v>7.8195056182806795</v>
      </c>
      <c r="CY15" s="231">
        <f t="shared" si="52"/>
        <v>0.95913992087508326</v>
      </c>
      <c r="CZ15">
        <f t="shared" si="53"/>
        <v>57.88</v>
      </c>
      <c r="DA15">
        <f t="shared" si="54"/>
        <v>805.0095129889736</v>
      </c>
      <c r="DD15" s="22">
        <v>30</v>
      </c>
      <c r="DE15" s="22">
        <f t="shared" si="95"/>
        <v>188.49555921538757</v>
      </c>
      <c r="DF15" s="91">
        <f t="shared" si="96"/>
        <v>48.297480230844968</v>
      </c>
      <c r="DG15" s="93">
        <f t="shared" si="97"/>
        <v>-20.167688761074245</v>
      </c>
      <c r="DH15" s="91">
        <f t="shared" si="98"/>
        <v>3.8094174718746125</v>
      </c>
      <c r="DI15" s="92">
        <f t="shared" si="99"/>
        <v>92.445440134110598</v>
      </c>
      <c r="DJ15" s="92">
        <f t="shared" si="55"/>
        <v>10.854591029330042</v>
      </c>
      <c r="DK15" s="93">
        <f t="shared" si="100"/>
        <v>96.767087064895392</v>
      </c>
      <c r="DL15" s="91">
        <f t="shared" si="101"/>
        <v>52.106897702719579</v>
      </c>
      <c r="DM15" s="92">
        <f t="shared" si="102"/>
        <v>72.277751373036352</v>
      </c>
      <c r="DN15" s="92">
        <f t="shared" si="103"/>
        <v>59.152071260175006</v>
      </c>
      <c r="DO15" s="93">
        <f t="shared" si="104"/>
        <v>76.599398303821147</v>
      </c>
    </row>
    <row r="16" spans="1:119" ht="15" x14ac:dyDescent="0.25">
      <c r="A16" t="s">
        <v>304</v>
      </c>
      <c r="B16" s="8">
        <f>IF(AND(Vout4&lt;&gt;0,n1_Flyback&lt;&gt;0,IoutPri_FBB=0),((ABS(Vout4)+Vdiode4)*(n1_Flyback/Np))/(ABS(Vout1)+Vdiode1),0)</f>
        <v>0</v>
      </c>
      <c r="C16" s="12"/>
      <c r="K16" s="58">
        <v>12</v>
      </c>
      <c r="L16" s="131">
        <f t="shared" si="56"/>
        <v>18.96</v>
      </c>
      <c r="M16" s="130">
        <f t="shared" si="57"/>
        <v>0.39556962025316456</v>
      </c>
      <c r="N16" s="132">
        <f t="shared" si="0"/>
        <v>0.73033765207875134</v>
      </c>
      <c r="O16" s="52">
        <f t="shared" si="58"/>
        <v>0.5164267063407465</v>
      </c>
      <c r="P16" s="21">
        <f t="shared" si="59"/>
        <v>0.54162567016401175</v>
      </c>
      <c r="Q16" s="19">
        <f t="shared" si="60"/>
        <v>1.0832513403280237</v>
      </c>
      <c r="R16" s="6">
        <f t="shared" si="1"/>
        <v>0.90245487250584255</v>
      </c>
      <c r="S16" s="55">
        <f t="shared" si="61"/>
        <v>0.53447876249188664</v>
      </c>
      <c r="T16" s="133">
        <f t="shared" si="62"/>
        <v>0.35943319697493964</v>
      </c>
      <c r="U16" s="54">
        <f t="shared" si="2"/>
        <v>0.34618004708532812</v>
      </c>
      <c r="V16" s="21">
        <f t="shared" si="63"/>
        <v>2.8886702408747298</v>
      </c>
      <c r="W16" s="21">
        <f t="shared" si="64"/>
        <v>0.9812696267038824</v>
      </c>
      <c r="X16" s="63">
        <f t="shared" si="65"/>
        <v>0.84432818281257005</v>
      </c>
      <c r="Y16" s="54">
        <f t="shared" si="3"/>
        <v>0</v>
      </c>
      <c r="Z16" s="21">
        <f t="shared" si="4"/>
        <v>0</v>
      </c>
      <c r="AA16" s="21">
        <f t="shared" si="66"/>
        <v>0</v>
      </c>
      <c r="AB16" s="63">
        <f t="shared" si="67"/>
        <v>0</v>
      </c>
      <c r="AC16" s="52">
        <f t="shared" si="5"/>
        <v>0</v>
      </c>
      <c r="AD16" s="21">
        <f t="shared" si="6"/>
        <v>0</v>
      </c>
      <c r="AE16" s="21">
        <f t="shared" si="68"/>
        <v>0</v>
      </c>
      <c r="AF16" s="63">
        <f t="shared" si="69"/>
        <v>0</v>
      </c>
      <c r="AG16" s="52">
        <f t="shared" si="7"/>
        <v>0</v>
      </c>
      <c r="AH16" s="21">
        <f t="shared" si="8"/>
        <v>0</v>
      </c>
      <c r="AI16" s="21">
        <f t="shared" si="70"/>
        <v>0</v>
      </c>
      <c r="AJ16" s="63">
        <f t="shared" si="71"/>
        <v>0</v>
      </c>
      <c r="AK16" s="52">
        <f t="shared" si="9"/>
        <v>0</v>
      </c>
      <c r="AL16" s="21">
        <f t="shared" si="10"/>
        <v>0</v>
      </c>
      <c r="AM16" s="21">
        <f t="shared" si="72"/>
        <v>0</v>
      </c>
      <c r="AN16" s="63">
        <f t="shared" si="73"/>
        <v>0</v>
      </c>
      <c r="AO16" s="52">
        <f t="shared" si="74"/>
        <v>0</v>
      </c>
      <c r="AP16" s="21">
        <f t="shared" si="11"/>
        <v>0</v>
      </c>
      <c r="AQ16" s="21">
        <f t="shared" si="75"/>
        <v>0</v>
      </c>
      <c r="AR16" s="181">
        <f t="shared" si="76"/>
        <v>0</v>
      </c>
      <c r="AS16" s="52">
        <f t="shared" si="12"/>
        <v>0</v>
      </c>
      <c r="AT16" s="21">
        <f t="shared" si="13"/>
        <v>0</v>
      </c>
      <c r="AU16" s="21">
        <f t="shared" si="14"/>
        <v>0</v>
      </c>
      <c r="AV16" s="63">
        <f t="shared" si="15"/>
        <v>0</v>
      </c>
      <c r="AW16" s="182">
        <f t="shared" si="77"/>
        <v>0.38852979470856125</v>
      </c>
      <c r="AX16" s="52">
        <f t="shared" si="78"/>
        <v>0</v>
      </c>
      <c r="AY16" s="74">
        <f t="shared" si="79"/>
        <v>0</v>
      </c>
      <c r="AZ16" s="78">
        <f t="shared" si="80"/>
        <v>0</v>
      </c>
      <c r="BA16" s="87">
        <f t="shared" si="81"/>
        <v>0</v>
      </c>
      <c r="BB16" s="110">
        <f t="shared" si="82"/>
        <v>17871.758454157614</v>
      </c>
      <c r="BC16" s="69">
        <f t="shared" si="83"/>
        <v>13.403818840618211</v>
      </c>
      <c r="BD16" s="42">
        <f t="shared" si="84"/>
        <v>12928.9236132437</v>
      </c>
      <c r="BE16" s="79">
        <f t="shared" si="85"/>
        <v>9.6966927099327744</v>
      </c>
      <c r="BF16" s="117" t="e">
        <f t="shared" si="16"/>
        <v>#NUM!</v>
      </c>
      <c r="BG16" s="118" t="e">
        <f t="shared" si="17"/>
        <v>#NUM!</v>
      </c>
      <c r="BH16" s="117">
        <f t="shared" si="18"/>
        <v>3.9418515684774288E-4</v>
      </c>
      <c r="BI16" s="118">
        <f t="shared" si="19"/>
        <v>1.0542290881294061E-2</v>
      </c>
      <c r="BJ16" s="117">
        <f t="shared" si="20"/>
        <v>0</v>
      </c>
      <c r="BK16" s="118">
        <f t="shared" si="21"/>
        <v>0</v>
      </c>
      <c r="BL16" s="91">
        <f t="shared" si="22"/>
        <v>0</v>
      </c>
      <c r="BM16" s="93">
        <f t="shared" si="23"/>
        <v>0</v>
      </c>
      <c r="BN16" s="91">
        <f t="shared" si="24"/>
        <v>0</v>
      </c>
      <c r="BO16" s="93">
        <f t="shared" si="25"/>
        <v>0</v>
      </c>
      <c r="BP16" s="91">
        <f t="shared" si="26"/>
        <v>0</v>
      </c>
      <c r="BQ16" s="93">
        <f t="shared" si="27"/>
        <v>0</v>
      </c>
      <c r="BR16" s="91">
        <f t="shared" si="28"/>
        <v>0</v>
      </c>
      <c r="BS16" s="93">
        <f t="shared" si="29"/>
        <v>0</v>
      </c>
      <c r="BT16" s="188">
        <f t="shared" si="30"/>
        <v>0</v>
      </c>
      <c r="BU16" s="93">
        <f t="shared" si="31"/>
        <v>0</v>
      </c>
      <c r="BV16" s="117" t="e">
        <f t="shared" si="86"/>
        <v>#NUM!</v>
      </c>
      <c r="BW16" s="206" t="e">
        <f t="shared" si="87"/>
        <v>#NUM!</v>
      </c>
      <c r="BX16" s="206" t="e">
        <f t="shared" si="88"/>
        <v>#NUM!</v>
      </c>
      <c r="BY16" s="97" t="e">
        <f t="shared" si="89"/>
        <v>#NUM!</v>
      </c>
      <c r="BZ16" s="123" t="e">
        <f t="shared" si="90"/>
        <v>#NUM!</v>
      </c>
      <c r="CA16" s="91">
        <f t="shared" si="91"/>
        <v>1.0953272712706297E-2</v>
      </c>
      <c r="CB16" s="92">
        <f t="shared" si="32"/>
        <v>2.5000000000000001E-3</v>
      </c>
      <c r="CC16" s="92">
        <f t="shared" si="33"/>
        <v>0</v>
      </c>
      <c r="CD16" s="92">
        <f t="shared" si="34"/>
        <v>0</v>
      </c>
      <c r="CE16" s="92">
        <f t="shared" si="35"/>
        <v>0</v>
      </c>
      <c r="CF16" s="92">
        <f t="shared" si="36"/>
        <v>0</v>
      </c>
      <c r="CG16" s="92">
        <f t="shared" si="37"/>
        <v>0</v>
      </c>
      <c r="CH16" s="92">
        <f t="shared" si="38"/>
        <v>0</v>
      </c>
      <c r="CI16" s="127">
        <f t="shared" si="92"/>
        <v>1.3453272712706297E-2</v>
      </c>
      <c r="CJ16" s="91">
        <f t="shared" si="93"/>
        <v>7.8237662233616404E-4</v>
      </c>
      <c r="CK16" s="92">
        <f t="shared" si="39"/>
        <v>3.3750000000000002E-2</v>
      </c>
      <c r="CL16" s="92">
        <f t="shared" si="40"/>
        <v>8.1000000000000016E-2</v>
      </c>
      <c r="CM16" s="127">
        <f t="shared" si="94"/>
        <v>0.11553237662233617</v>
      </c>
      <c r="CN16" s="91">
        <f t="shared" si="41"/>
        <v>0.15</v>
      </c>
      <c r="CO16" s="92">
        <f t="shared" si="42"/>
        <v>0</v>
      </c>
      <c r="CP16" s="92">
        <f t="shared" si="43"/>
        <v>0</v>
      </c>
      <c r="CQ16" s="92">
        <f t="shared" si="44"/>
        <v>0</v>
      </c>
      <c r="CR16" s="92">
        <f t="shared" si="45"/>
        <v>0</v>
      </c>
      <c r="CS16" s="92">
        <f t="shared" si="46"/>
        <v>0</v>
      </c>
      <c r="CT16" s="92">
        <f t="shared" si="47"/>
        <v>0</v>
      </c>
      <c r="CU16" s="127">
        <f t="shared" si="48"/>
        <v>0.15</v>
      </c>
      <c r="CV16" s="231">
        <f t="shared" si="49"/>
        <v>3.8889663594540824E-2</v>
      </c>
      <c r="CW16" s="188">
        <f t="shared" si="50"/>
        <v>0.31787531292958326</v>
      </c>
      <c r="CX16" s="206">
        <f t="shared" si="51"/>
        <v>7.8178753129295835</v>
      </c>
      <c r="CY16" s="231">
        <f t="shared" si="52"/>
        <v>0.95933993569789144</v>
      </c>
      <c r="CZ16">
        <f t="shared" si="53"/>
        <v>58.96</v>
      </c>
      <c r="DA16">
        <f t="shared" si="54"/>
        <v>806.08951298897364</v>
      </c>
      <c r="DD16" s="22">
        <v>40</v>
      </c>
      <c r="DE16" s="22">
        <f t="shared" si="95"/>
        <v>251.32741228718345</v>
      </c>
      <c r="DF16" s="91">
        <f t="shared" si="96"/>
        <v>47.912970186405694</v>
      </c>
      <c r="DG16" s="93">
        <f t="shared" si="97"/>
        <v>-26.090220665241134</v>
      </c>
      <c r="DH16" s="91">
        <f t="shared" si="98"/>
        <v>1.317484263441437</v>
      </c>
      <c r="DI16" s="92">
        <f t="shared" si="99"/>
        <v>93.258772376992638</v>
      </c>
      <c r="DJ16" s="92">
        <f t="shared" si="55"/>
        <v>8.4039888867300085</v>
      </c>
      <c r="DK16" s="93">
        <f t="shared" si="100"/>
        <v>98.98883525024884</v>
      </c>
      <c r="DL16" s="91">
        <f t="shared" si="101"/>
        <v>49.23045444984713</v>
      </c>
      <c r="DM16" s="92">
        <f t="shared" si="102"/>
        <v>67.168551711751505</v>
      </c>
      <c r="DN16" s="92">
        <f t="shared" si="103"/>
        <v>56.316959073135706</v>
      </c>
      <c r="DO16" s="93">
        <f t="shared" si="104"/>
        <v>72.898614585007707</v>
      </c>
    </row>
    <row r="17" spans="1:119" ht="15" x14ac:dyDescent="0.25">
      <c r="A17" t="s">
        <v>305</v>
      </c>
      <c r="B17" s="8">
        <f>IF(n4_Flyback_Calc&lt;&gt;0,n4_Flyback/Np,0)</f>
        <v>0</v>
      </c>
      <c r="C17" s="12"/>
      <c r="K17" s="58">
        <v>13</v>
      </c>
      <c r="L17" s="131">
        <f t="shared" si="56"/>
        <v>20.04</v>
      </c>
      <c r="M17" s="130">
        <f t="shared" si="57"/>
        <v>0.37425149700598803</v>
      </c>
      <c r="N17" s="132">
        <f t="shared" si="0"/>
        <v>0.69097813789486662</v>
      </c>
      <c r="O17" s="52">
        <f t="shared" si="58"/>
        <v>0.4885953269571135</v>
      </c>
      <c r="P17" s="21">
        <f t="shared" si="59"/>
        <v>0.54162567016401175</v>
      </c>
      <c r="Q17" s="19">
        <f t="shared" si="60"/>
        <v>1.0832513403280237</v>
      </c>
      <c r="R17" s="6">
        <f t="shared" si="1"/>
        <v>0.88785329791606427</v>
      </c>
      <c r="S17" s="55">
        <f t="shared" si="61"/>
        <v>0.51987718790210835</v>
      </c>
      <c r="T17" s="133">
        <f t="shared" si="62"/>
        <v>0.36084360530537468</v>
      </c>
      <c r="U17" s="54">
        <f t="shared" si="2"/>
        <v>0.34618004708532812</v>
      </c>
      <c r="V17" s="21">
        <f t="shared" si="63"/>
        <v>2.8886702408747298</v>
      </c>
      <c r="W17" s="21">
        <f t="shared" si="64"/>
        <v>0.9812696267038824</v>
      </c>
      <c r="X17" s="63">
        <f t="shared" si="65"/>
        <v>0.84432818281257005</v>
      </c>
      <c r="Y17" s="54">
        <f t="shared" si="3"/>
        <v>0</v>
      </c>
      <c r="Z17" s="21">
        <f t="shared" si="4"/>
        <v>0</v>
      </c>
      <c r="AA17" s="21">
        <f t="shared" si="66"/>
        <v>0</v>
      </c>
      <c r="AB17" s="63">
        <f t="shared" si="67"/>
        <v>0</v>
      </c>
      <c r="AC17" s="52">
        <f t="shared" si="5"/>
        <v>0</v>
      </c>
      <c r="AD17" s="21">
        <f t="shared" si="6"/>
        <v>0</v>
      </c>
      <c r="AE17" s="21">
        <f t="shared" si="68"/>
        <v>0</v>
      </c>
      <c r="AF17" s="63">
        <f t="shared" si="69"/>
        <v>0</v>
      </c>
      <c r="AG17" s="52">
        <f t="shared" si="7"/>
        <v>0</v>
      </c>
      <c r="AH17" s="21">
        <f t="shared" si="8"/>
        <v>0</v>
      </c>
      <c r="AI17" s="21">
        <f t="shared" si="70"/>
        <v>0</v>
      </c>
      <c r="AJ17" s="63">
        <f t="shared" si="71"/>
        <v>0</v>
      </c>
      <c r="AK17" s="52">
        <f t="shared" si="9"/>
        <v>0</v>
      </c>
      <c r="AL17" s="21">
        <f t="shared" si="10"/>
        <v>0</v>
      </c>
      <c r="AM17" s="21">
        <f t="shared" si="72"/>
        <v>0</v>
      </c>
      <c r="AN17" s="63">
        <f t="shared" si="73"/>
        <v>0</v>
      </c>
      <c r="AO17" s="52">
        <f t="shared" si="74"/>
        <v>0</v>
      </c>
      <c r="AP17" s="21">
        <f t="shared" si="11"/>
        <v>0</v>
      </c>
      <c r="AQ17" s="21">
        <f t="shared" si="75"/>
        <v>0</v>
      </c>
      <c r="AR17" s="181">
        <f t="shared" si="76"/>
        <v>0</v>
      </c>
      <c r="AS17" s="52">
        <f t="shared" si="12"/>
        <v>0</v>
      </c>
      <c r="AT17" s="21">
        <f t="shared" si="13"/>
        <v>0</v>
      </c>
      <c r="AU17" s="21">
        <f t="shared" si="14"/>
        <v>0</v>
      </c>
      <c r="AV17" s="63">
        <f t="shared" si="15"/>
        <v>0</v>
      </c>
      <c r="AW17" s="182">
        <f t="shared" si="77"/>
        <v>0.38852979470856125</v>
      </c>
      <c r="AX17" s="52">
        <f t="shared" si="78"/>
        <v>0</v>
      </c>
      <c r="AY17" s="74">
        <f t="shared" si="79"/>
        <v>0</v>
      </c>
      <c r="AZ17" s="78">
        <f t="shared" si="80"/>
        <v>0</v>
      </c>
      <c r="BA17" s="87">
        <f t="shared" si="81"/>
        <v>0</v>
      </c>
      <c r="BB17" s="110">
        <f t="shared" si="82"/>
        <v>17871.758454157614</v>
      </c>
      <c r="BC17" s="69">
        <f t="shared" si="83"/>
        <v>13.403818840618211</v>
      </c>
      <c r="BD17" s="42">
        <f t="shared" si="84"/>
        <v>12928.9236132437</v>
      </c>
      <c r="BE17" s="79">
        <f t="shared" si="85"/>
        <v>9.6966927099327744</v>
      </c>
      <c r="BF17" s="117" t="e">
        <f t="shared" si="16"/>
        <v>#NUM!</v>
      </c>
      <c r="BG17" s="118" t="e">
        <f t="shared" si="17"/>
        <v>#NUM!</v>
      </c>
      <c r="BH17" s="117">
        <f t="shared" si="18"/>
        <v>3.9418515684774288E-4</v>
      </c>
      <c r="BI17" s="118">
        <f t="shared" si="19"/>
        <v>1.0542290881294061E-2</v>
      </c>
      <c r="BJ17" s="117">
        <f t="shared" si="20"/>
        <v>0</v>
      </c>
      <c r="BK17" s="118">
        <f t="shared" si="21"/>
        <v>0</v>
      </c>
      <c r="BL17" s="91">
        <f t="shared" si="22"/>
        <v>0</v>
      </c>
      <c r="BM17" s="93">
        <f t="shared" si="23"/>
        <v>0</v>
      </c>
      <c r="BN17" s="91">
        <f t="shared" si="24"/>
        <v>0</v>
      </c>
      <c r="BO17" s="93">
        <f t="shared" si="25"/>
        <v>0</v>
      </c>
      <c r="BP17" s="91">
        <f t="shared" si="26"/>
        <v>0</v>
      </c>
      <c r="BQ17" s="93">
        <f t="shared" si="27"/>
        <v>0</v>
      </c>
      <c r="BR17" s="91">
        <f t="shared" si="28"/>
        <v>0</v>
      </c>
      <c r="BS17" s="93">
        <f t="shared" si="29"/>
        <v>0</v>
      </c>
      <c r="BT17" s="188">
        <f t="shared" si="30"/>
        <v>0</v>
      </c>
      <c r="BU17" s="93">
        <f t="shared" si="31"/>
        <v>0</v>
      </c>
      <c r="BV17" s="117" t="e">
        <f t="shared" si="86"/>
        <v>#NUM!</v>
      </c>
      <c r="BW17" s="206" t="e">
        <f t="shared" si="87"/>
        <v>#NUM!</v>
      </c>
      <c r="BX17" s="206" t="e">
        <f t="shared" si="88"/>
        <v>#NUM!</v>
      </c>
      <c r="BY17" s="97" t="e">
        <f t="shared" si="89"/>
        <v>#NUM!</v>
      </c>
      <c r="BZ17" s="123" t="e">
        <f t="shared" si="90"/>
        <v>#NUM!</v>
      </c>
      <c r="CA17" s="91">
        <f t="shared" si="91"/>
        <v>9.8044928107856155E-3</v>
      </c>
      <c r="CB17" s="92">
        <f t="shared" si="32"/>
        <v>2.5000000000000001E-3</v>
      </c>
      <c r="CC17" s="92">
        <f t="shared" si="33"/>
        <v>0</v>
      </c>
      <c r="CD17" s="92">
        <f t="shared" si="34"/>
        <v>0</v>
      </c>
      <c r="CE17" s="92">
        <f t="shared" si="35"/>
        <v>0</v>
      </c>
      <c r="CF17" s="92">
        <f t="shared" si="36"/>
        <v>0</v>
      </c>
      <c r="CG17" s="92">
        <f t="shared" si="37"/>
        <v>0</v>
      </c>
      <c r="CH17" s="92">
        <f t="shared" si="38"/>
        <v>0</v>
      </c>
      <c r="CI17" s="127">
        <f t="shared" si="92"/>
        <v>1.2304492810785616E-2</v>
      </c>
      <c r="CJ17" s="91">
        <f t="shared" si="93"/>
        <v>7.0032091505611534E-4</v>
      </c>
      <c r="CK17" s="92">
        <f t="shared" si="39"/>
        <v>3.3750000000000002E-2</v>
      </c>
      <c r="CL17" s="92">
        <f t="shared" si="40"/>
        <v>8.1000000000000016E-2</v>
      </c>
      <c r="CM17" s="127">
        <f t="shared" si="94"/>
        <v>0.11545032091505614</v>
      </c>
      <c r="CN17" s="91">
        <f t="shared" si="41"/>
        <v>0.15</v>
      </c>
      <c r="CO17" s="92">
        <f t="shared" si="42"/>
        <v>0</v>
      </c>
      <c r="CP17" s="92">
        <f t="shared" si="43"/>
        <v>0</v>
      </c>
      <c r="CQ17" s="92">
        <f t="shared" si="44"/>
        <v>0</v>
      </c>
      <c r="CR17" s="92">
        <f t="shared" si="45"/>
        <v>0</v>
      </c>
      <c r="CS17" s="92">
        <f t="shared" si="46"/>
        <v>0</v>
      </c>
      <c r="CT17" s="92">
        <f t="shared" si="47"/>
        <v>0</v>
      </c>
      <c r="CU17" s="127">
        <f t="shared" si="48"/>
        <v>0.15</v>
      </c>
      <c r="CV17" s="231">
        <f t="shared" si="49"/>
        <v>3.8716848352564386E-2</v>
      </c>
      <c r="CW17" s="188">
        <f t="shared" si="50"/>
        <v>0.31647166207840616</v>
      </c>
      <c r="CX17" s="206">
        <f t="shared" si="51"/>
        <v>7.8164716620784063</v>
      </c>
      <c r="CY17" s="231">
        <f t="shared" si="52"/>
        <v>0.95951221014287458</v>
      </c>
      <c r="CZ17">
        <f t="shared" si="53"/>
        <v>60.04</v>
      </c>
      <c r="DA17">
        <f t="shared" si="54"/>
        <v>807.16951298897357</v>
      </c>
      <c r="DD17" s="22">
        <v>50</v>
      </c>
      <c r="DE17" s="22">
        <f t="shared" si="95"/>
        <v>314.15926535897933</v>
      </c>
      <c r="DF17" s="91">
        <f t="shared" si="96"/>
        <v>47.463892874259422</v>
      </c>
      <c r="DG17" s="93">
        <f t="shared" si="97"/>
        <v>-31.468675922955722</v>
      </c>
      <c r="DH17" s="91">
        <f t="shared" si="98"/>
        <v>-0.61193565018783203</v>
      </c>
      <c r="DI17" s="92">
        <f t="shared" si="99"/>
        <v>94.07055566877419</v>
      </c>
      <c r="DJ17" s="92">
        <f t="shared" si="55"/>
        <v>6.526949474117977</v>
      </c>
      <c r="DK17" s="93">
        <f t="shared" si="100"/>
        <v>101.18230510306739</v>
      </c>
      <c r="DL17" s="91">
        <f t="shared" si="101"/>
        <v>46.85195722407159</v>
      </c>
      <c r="DM17" s="92">
        <f t="shared" si="102"/>
        <v>62.601879745818465</v>
      </c>
      <c r="DN17" s="92">
        <f t="shared" si="103"/>
        <v>53.990842348377399</v>
      </c>
      <c r="DO17" s="93">
        <f t="shared" si="104"/>
        <v>69.713629180111667</v>
      </c>
    </row>
    <row r="18" spans="1:119" ht="15" x14ac:dyDescent="0.25">
      <c r="A18" t="s">
        <v>306</v>
      </c>
      <c r="B18" s="8">
        <f>IF(AND(Vout5&lt;&gt;0,n1_Flyback&lt;&gt;0,IoutPri_FBB=0),((ABS(Vout5)+Vdiode5)*(n1_Flyback/Np))/(ABS(Vout1)+Vdiode1),0)</f>
        <v>0</v>
      </c>
      <c r="C18" s="12"/>
      <c r="K18" s="58">
        <v>14</v>
      </c>
      <c r="L18" s="131">
        <f t="shared" si="56"/>
        <v>21.12</v>
      </c>
      <c r="M18" s="130">
        <f t="shared" si="57"/>
        <v>0.35511363636363641</v>
      </c>
      <c r="N18" s="132">
        <f t="shared" si="0"/>
        <v>0.65564402857069715</v>
      </c>
      <c r="O18" s="52">
        <f t="shared" si="58"/>
        <v>0.46361033864680651</v>
      </c>
      <c r="P18" s="21">
        <f t="shared" si="59"/>
        <v>0.54162567016401186</v>
      </c>
      <c r="Q18" s="19">
        <f t="shared" si="60"/>
        <v>1.0832513403280235</v>
      </c>
      <c r="R18" s="6">
        <f t="shared" si="1"/>
        <v>0.87438656446085172</v>
      </c>
      <c r="S18" s="55">
        <f t="shared" si="61"/>
        <v>0.50641045444689581</v>
      </c>
      <c r="T18" s="133">
        <f t="shared" si="62"/>
        <v>0.36103442168539351</v>
      </c>
      <c r="U18" s="54">
        <f t="shared" si="2"/>
        <v>0.34618004708532812</v>
      </c>
      <c r="V18" s="21">
        <f t="shared" si="63"/>
        <v>2.8886702408747298</v>
      </c>
      <c r="W18" s="21">
        <f t="shared" si="64"/>
        <v>0.9812696267038824</v>
      </c>
      <c r="X18" s="63">
        <f t="shared" si="65"/>
        <v>0.84432818281257005</v>
      </c>
      <c r="Y18" s="54">
        <f t="shared" si="3"/>
        <v>0</v>
      </c>
      <c r="Z18" s="21">
        <f t="shared" si="4"/>
        <v>0</v>
      </c>
      <c r="AA18" s="21">
        <f t="shared" si="66"/>
        <v>0</v>
      </c>
      <c r="AB18" s="63">
        <f t="shared" si="67"/>
        <v>0</v>
      </c>
      <c r="AC18" s="52">
        <f t="shared" si="5"/>
        <v>0</v>
      </c>
      <c r="AD18" s="21">
        <f t="shared" si="6"/>
        <v>0</v>
      </c>
      <c r="AE18" s="21">
        <f t="shared" si="68"/>
        <v>0</v>
      </c>
      <c r="AF18" s="63">
        <f t="shared" si="69"/>
        <v>0</v>
      </c>
      <c r="AG18" s="52">
        <f t="shared" si="7"/>
        <v>0</v>
      </c>
      <c r="AH18" s="21">
        <f t="shared" si="8"/>
        <v>0</v>
      </c>
      <c r="AI18" s="21">
        <f t="shared" si="70"/>
        <v>0</v>
      </c>
      <c r="AJ18" s="63">
        <f t="shared" si="71"/>
        <v>0</v>
      </c>
      <c r="AK18" s="52">
        <f t="shared" si="9"/>
        <v>0</v>
      </c>
      <c r="AL18" s="21">
        <f t="shared" si="10"/>
        <v>0</v>
      </c>
      <c r="AM18" s="21">
        <f t="shared" si="72"/>
        <v>0</v>
      </c>
      <c r="AN18" s="63">
        <f t="shared" si="73"/>
        <v>0</v>
      </c>
      <c r="AO18" s="52">
        <f t="shared" si="74"/>
        <v>0</v>
      </c>
      <c r="AP18" s="21">
        <f t="shared" si="11"/>
        <v>0</v>
      </c>
      <c r="AQ18" s="21">
        <f t="shared" si="75"/>
        <v>0</v>
      </c>
      <c r="AR18" s="181">
        <f t="shared" si="76"/>
        <v>0</v>
      </c>
      <c r="AS18" s="52">
        <f t="shared" si="12"/>
        <v>0</v>
      </c>
      <c r="AT18" s="21">
        <f t="shared" si="13"/>
        <v>0</v>
      </c>
      <c r="AU18" s="21">
        <f t="shared" si="14"/>
        <v>0</v>
      </c>
      <c r="AV18" s="63">
        <f t="shared" si="15"/>
        <v>0</v>
      </c>
      <c r="AW18" s="182">
        <f t="shared" si="77"/>
        <v>0.38852979470856125</v>
      </c>
      <c r="AX18" s="52">
        <f t="shared" si="78"/>
        <v>0</v>
      </c>
      <c r="AY18" s="74">
        <f t="shared" si="79"/>
        <v>0</v>
      </c>
      <c r="AZ18" s="78">
        <f t="shared" si="80"/>
        <v>0</v>
      </c>
      <c r="BA18" s="87">
        <f t="shared" si="81"/>
        <v>0</v>
      </c>
      <c r="BB18" s="110">
        <f t="shared" si="82"/>
        <v>17871.758454157614</v>
      </c>
      <c r="BC18" s="69">
        <f t="shared" si="83"/>
        <v>13.403818840618211</v>
      </c>
      <c r="BD18" s="42">
        <f t="shared" si="84"/>
        <v>12928.9236132437</v>
      </c>
      <c r="BE18" s="79">
        <f t="shared" si="85"/>
        <v>9.6966927099327744</v>
      </c>
      <c r="BF18" s="117" t="e">
        <f t="shared" si="16"/>
        <v>#NUM!</v>
      </c>
      <c r="BG18" s="118" t="e">
        <f t="shared" si="17"/>
        <v>#NUM!</v>
      </c>
      <c r="BH18" s="117">
        <f t="shared" si="18"/>
        <v>3.9418515684774288E-4</v>
      </c>
      <c r="BI18" s="118">
        <f t="shared" si="19"/>
        <v>1.0542290881294061E-2</v>
      </c>
      <c r="BJ18" s="117">
        <f t="shared" si="20"/>
        <v>0</v>
      </c>
      <c r="BK18" s="118">
        <f t="shared" si="21"/>
        <v>0</v>
      </c>
      <c r="BL18" s="91">
        <f t="shared" si="22"/>
        <v>0</v>
      </c>
      <c r="BM18" s="93">
        <f t="shared" si="23"/>
        <v>0</v>
      </c>
      <c r="BN18" s="91">
        <f t="shared" si="24"/>
        <v>0</v>
      </c>
      <c r="BO18" s="93">
        <f t="shared" si="25"/>
        <v>0</v>
      </c>
      <c r="BP18" s="91">
        <f t="shared" si="26"/>
        <v>0</v>
      </c>
      <c r="BQ18" s="93">
        <f t="shared" si="27"/>
        <v>0</v>
      </c>
      <c r="BR18" s="91">
        <f t="shared" si="28"/>
        <v>0</v>
      </c>
      <c r="BS18" s="93">
        <f t="shared" si="29"/>
        <v>0</v>
      </c>
      <c r="BT18" s="188">
        <f t="shared" si="30"/>
        <v>0</v>
      </c>
      <c r="BU18" s="93">
        <f t="shared" si="31"/>
        <v>0</v>
      </c>
      <c r="BV18" s="117" t="e">
        <f t="shared" si="86"/>
        <v>#NUM!</v>
      </c>
      <c r="BW18" s="206" t="e">
        <f t="shared" si="87"/>
        <v>#NUM!</v>
      </c>
      <c r="BX18" s="206" t="e">
        <f t="shared" si="88"/>
        <v>#NUM!</v>
      </c>
      <c r="BY18" s="97" t="e">
        <f t="shared" si="89"/>
        <v>#NUM!</v>
      </c>
      <c r="BZ18" s="123" t="e">
        <f t="shared" si="90"/>
        <v>#NUM!</v>
      </c>
      <c r="CA18" s="91">
        <f t="shared" si="91"/>
        <v>8.827398631198349E-3</v>
      </c>
      <c r="CB18" s="92">
        <f t="shared" si="32"/>
        <v>2.5000000000000001E-3</v>
      </c>
      <c r="CC18" s="92">
        <f t="shared" si="33"/>
        <v>0</v>
      </c>
      <c r="CD18" s="92">
        <f t="shared" si="34"/>
        <v>0</v>
      </c>
      <c r="CE18" s="92">
        <f t="shared" si="35"/>
        <v>0</v>
      </c>
      <c r="CF18" s="92">
        <f t="shared" si="36"/>
        <v>0</v>
      </c>
      <c r="CG18" s="92">
        <f t="shared" si="37"/>
        <v>0</v>
      </c>
      <c r="CH18" s="92">
        <f t="shared" si="38"/>
        <v>0</v>
      </c>
      <c r="CI18" s="127">
        <f t="shared" si="92"/>
        <v>1.1327398631198349E-2</v>
      </c>
      <c r="CJ18" s="91">
        <f t="shared" si="93"/>
        <v>6.3052847365702494E-4</v>
      </c>
      <c r="CK18" s="92">
        <f t="shared" si="39"/>
        <v>3.3750000000000009E-2</v>
      </c>
      <c r="CL18" s="92">
        <f t="shared" si="40"/>
        <v>8.1000000000000016E-2</v>
      </c>
      <c r="CM18" s="127">
        <f t="shared" si="94"/>
        <v>0.11538052847365704</v>
      </c>
      <c r="CN18" s="91">
        <f t="shared" si="41"/>
        <v>0.15</v>
      </c>
      <c r="CO18" s="92">
        <f t="shared" si="42"/>
        <v>0</v>
      </c>
      <c r="CP18" s="92">
        <f t="shared" si="43"/>
        <v>0</v>
      </c>
      <c r="CQ18" s="92">
        <f t="shared" si="44"/>
        <v>0</v>
      </c>
      <c r="CR18" s="92">
        <f t="shared" si="45"/>
        <v>0</v>
      </c>
      <c r="CS18" s="92">
        <f t="shared" si="46"/>
        <v>0</v>
      </c>
      <c r="CT18" s="92">
        <f t="shared" si="47"/>
        <v>0</v>
      </c>
      <c r="CU18" s="127">
        <f t="shared" si="48"/>
        <v>0.15</v>
      </c>
      <c r="CV18" s="231">
        <f t="shared" si="49"/>
        <v>3.8540893129744472E-2</v>
      </c>
      <c r="CW18" s="188">
        <f t="shared" si="50"/>
        <v>0.31524882023459988</v>
      </c>
      <c r="CX18" s="206">
        <f t="shared" si="51"/>
        <v>7.8152488202345998</v>
      </c>
      <c r="CY18" s="231">
        <f t="shared" si="52"/>
        <v>0.95966234377357462</v>
      </c>
      <c r="CZ18">
        <f t="shared" si="53"/>
        <v>61.120000000000005</v>
      </c>
      <c r="DA18">
        <f t="shared" si="54"/>
        <v>808.24951298897349</v>
      </c>
      <c r="DD18" s="22">
        <v>60</v>
      </c>
      <c r="DE18" s="22">
        <f t="shared" si="95"/>
        <v>376.99111843077515</v>
      </c>
      <c r="DF18" s="91">
        <f t="shared" si="96"/>
        <v>46.971449784606293</v>
      </c>
      <c r="DG18" s="93">
        <f t="shared" si="97"/>
        <v>-36.292741793796218</v>
      </c>
      <c r="DH18" s="91">
        <f t="shared" si="98"/>
        <v>-2.1848532272476855</v>
      </c>
      <c r="DI18" s="92">
        <f t="shared" si="99"/>
        <v>94.880410606060948</v>
      </c>
      <c r="DJ18" s="92">
        <f t="shared" si="55"/>
        <v>5.0169249799432949</v>
      </c>
      <c r="DK18" s="93">
        <f t="shared" si="100"/>
        <v>103.34140683965184</v>
      </c>
      <c r="DL18" s="91">
        <f t="shared" si="101"/>
        <v>44.786596557358607</v>
      </c>
      <c r="DM18" s="92">
        <f t="shared" si="102"/>
        <v>58.587668812264731</v>
      </c>
      <c r="DN18" s="92">
        <f t="shared" si="103"/>
        <v>51.98837476454959</v>
      </c>
      <c r="DO18" s="93">
        <f t="shared" si="104"/>
        <v>67.048665045855614</v>
      </c>
    </row>
    <row r="19" spans="1:119" ht="15" x14ac:dyDescent="0.25">
      <c r="A19" t="s">
        <v>307</v>
      </c>
      <c r="B19" s="8">
        <f>IF(n5_Flyback_Calc&lt;&gt;0,n5_Flyback/Np,0)</f>
        <v>0</v>
      </c>
      <c r="C19" s="12"/>
      <c r="K19" s="58">
        <v>15</v>
      </c>
      <c r="L19" s="131">
        <f t="shared" si="56"/>
        <v>22.200000000000003</v>
      </c>
      <c r="M19" s="130">
        <f t="shared" si="57"/>
        <v>0.33783783783783783</v>
      </c>
      <c r="N19" s="132">
        <f t="shared" si="0"/>
        <v>0.62374783258617672</v>
      </c>
      <c r="O19" s="52">
        <f t="shared" si="58"/>
        <v>0.44105632217209695</v>
      </c>
      <c r="P19" s="21">
        <f t="shared" si="59"/>
        <v>0.54162567016401186</v>
      </c>
      <c r="Q19" s="19">
        <f t="shared" si="60"/>
        <v>1.0832513403280235</v>
      </c>
      <c r="R19" s="6">
        <f t="shared" si="1"/>
        <v>0.86191489883389272</v>
      </c>
      <c r="S19" s="55">
        <f t="shared" si="61"/>
        <v>0.4939387888199368</v>
      </c>
      <c r="T19" s="133">
        <f t="shared" si="62"/>
        <v>0.36033473663520271</v>
      </c>
      <c r="U19" s="54">
        <f t="shared" si="2"/>
        <v>0.34618004708532812</v>
      </c>
      <c r="V19" s="21">
        <f t="shared" si="63"/>
        <v>2.8886702408747298</v>
      </c>
      <c r="W19" s="21">
        <f t="shared" si="64"/>
        <v>0.9812696267038824</v>
      </c>
      <c r="X19" s="63">
        <f t="shared" si="65"/>
        <v>0.84432818281257005</v>
      </c>
      <c r="Y19" s="54">
        <f t="shared" si="3"/>
        <v>0</v>
      </c>
      <c r="Z19" s="21">
        <f t="shared" si="4"/>
        <v>0</v>
      </c>
      <c r="AA19" s="21">
        <f t="shared" si="66"/>
        <v>0</v>
      </c>
      <c r="AB19" s="63">
        <f t="shared" si="67"/>
        <v>0</v>
      </c>
      <c r="AC19" s="52">
        <f t="shared" si="5"/>
        <v>0</v>
      </c>
      <c r="AD19" s="21">
        <f t="shared" si="6"/>
        <v>0</v>
      </c>
      <c r="AE19" s="21">
        <f t="shared" si="68"/>
        <v>0</v>
      </c>
      <c r="AF19" s="63">
        <f t="shared" si="69"/>
        <v>0</v>
      </c>
      <c r="AG19" s="52">
        <f t="shared" si="7"/>
        <v>0</v>
      </c>
      <c r="AH19" s="21">
        <f t="shared" si="8"/>
        <v>0</v>
      </c>
      <c r="AI19" s="21">
        <f t="shared" si="70"/>
        <v>0</v>
      </c>
      <c r="AJ19" s="63">
        <f t="shared" si="71"/>
        <v>0</v>
      </c>
      <c r="AK19" s="52">
        <f t="shared" si="9"/>
        <v>0</v>
      </c>
      <c r="AL19" s="21">
        <f t="shared" si="10"/>
        <v>0</v>
      </c>
      <c r="AM19" s="21">
        <f t="shared" si="72"/>
        <v>0</v>
      </c>
      <c r="AN19" s="63">
        <f t="shared" si="73"/>
        <v>0</v>
      </c>
      <c r="AO19" s="52">
        <f t="shared" si="74"/>
        <v>0</v>
      </c>
      <c r="AP19" s="21">
        <f t="shared" si="11"/>
        <v>0</v>
      </c>
      <c r="AQ19" s="21">
        <f t="shared" si="75"/>
        <v>0</v>
      </c>
      <c r="AR19" s="181">
        <f t="shared" si="76"/>
        <v>0</v>
      </c>
      <c r="AS19" s="52">
        <f t="shared" si="12"/>
        <v>0</v>
      </c>
      <c r="AT19" s="21">
        <f t="shared" si="13"/>
        <v>0</v>
      </c>
      <c r="AU19" s="21">
        <f t="shared" si="14"/>
        <v>0</v>
      </c>
      <c r="AV19" s="63">
        <f t="shared" si="15"/>
        <v>0</v>
      </c>
      <c r="AW19" s="182">
        <f t="shared" si="77"/>
        <v>0.38852979470856125</v>
      </c>
      <c r="AX19" s="52">
        <f t="shared" si="78"/>
        <v>0</v>
      </c>
      <c r="AY19" s="74">
        <f t="shared" si="79"/>
        <v>0</v>
      </c>
      <c r="AZ19" s="78">
        <f t="shared" si="80"/>
        <v>0</v>
      </c>
      <c r="BA19" s="87">
        <f t="shared" si="81"/>
        <v>0</v>
      </c>
      <c r="BB19" s="110">
        <f t="shared" si="82"/>
        <v>17871.758454157614</v>
      </c>
      <c r="BC19" s="69">
        <f t="shared" si="83"/>
        <v>13.403818840618211</v>
      </c>
      <c r="BD19" s="42">
        <f t="shared" si="84"/>
        <v>12928.9236132437</v>
      </c>
      <c r="BE19" s="79">
        <f t="shared" si="85"/>
        <v>9.6966927099327744</v>
      </c>
      <c r="BF19" s="117" t="e">
        <f t="shared" si="16"/>
        <v>#NUM!</v>
      </c>
      <c r="BG19" s="118" t="e">
        <f t="shared" si="17"/>
        <v>#NUM!</v>
      </c>
      <c r="BH19" s="117">
        <f t="shared" si="18"/>
        <v>3.9418515684774288E-4</v>
      </c>
      <c r="BI19" s="118">
        <f t="shared" si="19"/>
        <v>1.0542290881294061E-2</v>
      </c>
      <c r="BJ19" s="117">
        <f t="shared" si="20"/>
        <v>0</v>
      </c>
      <c r="BK19" s="118">
        <f t="shared" si="21"/>
        <v>0</v>
      </c>
      <c r="BL19" s="91">
        <f t="shared" si="22"/>
        <v>0</v>
      </c>
      <c r="BM19" s="93">
        <f t="shared" si="23"/>
        <v>0</v>
      </c>
      <c r="BN19" s="91">
        <f t="shared" si="24"/>
        <v>0</v>
      </c>
      <c r="BO19" s="93">
        <f t="shared" si="25"/>
        <v>0</v>
      </c>
      <c r="BP19" s="91">
        <f t="shared" si="26"/>
        <v>0</v>
      </c>
      <c r="BQ19" s="93">
        <f t="shared" si="27"/>
        <v>0</v>
      </c>
      <c r="BR19" s="91">
        <f t="shared" si="28"/>
        <v>0</v>
      </c>
      <c r="BS19" s="93">
        <f t="shared" si="29"/>
        <v>0</v>
      </c>
      <c r="BT19" s="188">
        <f t="shared" si="30"/>
        <v>0</v>
      </c>
      <c r="BU19" s="93">
        <f t="shared" si="31"/>
        <v>0</v>
      </c>
      <c r="BV19" s="117" t="e">
        <f t="shared" si="86"/>
        <v>#NUM!</v>
      </c>
      <c r="BW19" s="206" t="e">
        <f t="shared" si="87"/>
        <v>#NUM!</v>
      </c>
      <c r="BX19" s="206" t="e">
        <f t="shared" si="88"/>
        <v>#NUM!</v>
      </c>
      <c r="BY19" s="97" t="e">
        <f t="shared" si="89"/>
        <v>#NUM!</v>
      </c>
      <c r="BZ19" s="123" t="e">
        <f t="shared" si="90"/>
        <v>#NUM!</v>
      </c>
      <c r="CA19" s="91">
        <f t="shared" si="91"/>
        <v>7.9894083272461659E-3</v>
      </c>
      <c r="CB19" s="92">
        <f t="shared" si="32"/>
        <v>2.5000000000000001E-3</v>
      </c>
      <c r="CC19" s="92">
        <f t="shared" si="33"/>
        <v>0</v>
      </c>
      <c r="CD19" s="92">
        <f t="shared" si="34"/>
        <v>0</v>
      </c>
      <c r="CE19" s="92">
        <f t="shared" si="35"/>
        <v>0</v>
      </c>
      <c r="CF19" s="92">
        <f t="shared" si="36"/>
        <v>0</v>
      </c>
      <c r="CG19" s="92">
        <f t="shared" si="37"/>
        <v>0</v>
      </c>
      <c r="CH19" s="92">
        <f t="shared" si="38"/>
        <v>0</v>
      </c>
      <c r="CI19" s="127">
        <f t="shared" si="92"/>
        <v>1.0489408327246166E-2</v>
      </c>
      <c r="CJ19" s="91">
        <f t="shared" si="93"/>
        <v>5.7067202337472602E-4</v>
      </c>
      <c r="CK19" s="92">
        <f t="shared" si="39"/>
        <v>3.3750000000000009E-2</v>
      </c>
      <c r="CL19" s="92">
        <f t="shared" si="40"/>
        <v>8.1000000000000016E-2</v>
      </c>
      <c r="CM19" s="127">
        <f t="shared" si="94"/>
        <v>0.11532067202337476</v>
      </c>
      <c r="CN19" s="91">
        <f t="shared" si="41"/>
        <v>0.15</v>
      </c>
      <c r="CO19" s="92">
        <f t="shared" si="42"/>
        <v>0</v>
      </c>
      <c r="CP19" s="92">
        <f t="shared" si="43"/>
        <v>0</v>
      </c>
      <c r="CQ19" s="92">
        <f t="shared" si="44"/>
        <v>0</v>
      </c>
      <c r="CR19" s="92">
        <f t="shared" si="45"/>
        <v>0</v>
      </c>
      <c r="CS19" s="92">
        <f t="shared" si="46"/>
        <v>0</v>
      </c>
      <c r="CT19" s="92">
        <f t="shared" si="47"/>
        <v>0</v>
      </c>
      <c r="CU19" s="127">
        <f t="shared" si="48"/>
        <v>0.15</v>
      </c>
      <c r="CV19" s="231">
        <f t="shared" si="49"/>
        <v>3.8361711563280339E-2</v>
      </c>
      <c r="CW19" s="188">
        <f t="shared" si="50"/>
        <v>0.31417179191390121</v>
      </c>
      <c r="CX19" s="206">
        <f t="shared" si="51"/>
        <v>7.8141717919139015</v>
      </c>
      <c r="CY19" s="231">
        <f t="shared" si="52"/>
        <v>0.95979461416000522</v>
      </c>
      <c r="CZ19">
        <f t="shared" si="53"/>
        <v>62.2</v>
      </c>
      <c r="DA19">
        <f t="shared" si="54"/>
        <v>809.32951298897353</v>
      </c>
      <c r="DD19" s="22">
        <v>70</v>
      </c>
      <c r="DE19" s="22">
        <f t="shared" si="95"/>
        <v>439.82297150257102</v>
      </c>
      <c r="DF19" s="91">
        <f t="shared" si="96"/>
        <v>46.453416097035145</v>
      </c>
      <c r="DG19" s="93">
        <f t="shared" si="97"/>
        <v>-40.585439318401988</v>
      </c>
      <c r="DH19" s="91">
        <f t="shared" si="98"/>
        <v>-3.5111690238848814</v>
      </c>
      <c r="DI19" s="92">
        <f t="shared" si="99"/>
        <v>95.687962931116218</v>
      </c>
      <c r="DJ19" s="92">
        <f t="shared" si="55"/>
        <v>3.7633924798013165</v>
      </c>
      <c r="DK19" s="93">
        <f t="shared" si="100"/>
        <v>105.46063872338462</v>
      </c>
      <c r="DL19" s="91">
        <f t="shared" si="101"/>
        <v>42.942247073150263</v>
      </c>
      <c r="DM19" s="92">
        <f t="shared" si="102"/>
        <v>55.102523612714229</v>
      </c>
      <c r="DN19" s="92">
        <f t="shared" si="103"/>
        <v>50.216808576836463</v>
      </c>
      <c r="DO19" s="93">
        <f t="shared" si="104"/>
        <v>64.875199404982624</v>
      </c>
    </row>
    <row r="20" spans="1:119" ht="15" x14ac:dyDescent="0.25">
      <c r="A20" t="s">
        <v>308</v>
      </c>
      <c r="B20" s="8">
        <f>IF(AND(Vout6&lt;&gt;0,n1_Flyback&lt;&gt;0,IoutPri_FBB=0),((ABS(Vout6)+Vdiode6)*(n1_Flyback/Np))/(ABS(Vout1)+Vdiode1),0)</f>
        <v>0</v>
      </c>
      <c r="C20" s="12"/>
      <c r="K20" s="58">
        <v>16</v>
      </c>
      <c r="L20" s="131">
        <f t="shared" si="56"/>
        <v>23.28</v>
      </c>
      <c r="M20" s="130">
        <f t="shared" si="57"/>
        <v>0.32216494845360821</v>
      </c>
      <c r="N20" s="132">
        <f t="shared" si="0"/>
        <v>0.59481107746619954</v>
      </c>
      <c r="O20" s="52">
        <f t="shared" si="58"/>
        <v>0.42059494640122652</v>
      </c>
      <c r="P20" s="21">
        <f t="shared" si="59"/>
        <v>0.54162567016401175</v>
      </c>
      <c r="Q20" s="19">
        <f t="shared" si="60"/>
        <v>1.0832513403280237</v>
      </c>
      <c r="R20" s="6">
        <f t="shared" si="1"/>
        <v>0.85032149955626291</v>
      </c>
      <c r="S20" s="55">
        <f t="shared" si="61"/>
        <v>0.48234538954230705</v>
      </c>
      <c r="T20" s="133">
        <f t="shared" si="62"/>
        <v>0.3589802512682333</v>
      </c>
      <c r="U20" s="54">
        <f t="shared" si="2"/>
        <v>0.34618004708532812</v>
      </c>
      <c r="V20" s="21">
        <f t="shared" si="63"/>
        <v>2.8886702408747298</v>
      </c>
      <c r="W20" s="21">
        <f t="shared" si="64"/>
        <v>0.9812696267038824</v>
      </c>
      <c r="X20" s="63">
        <f t="shared" si="65"/>
        <v>0.84432818281257005</v>
      </c>
      <c r="Y20" s="54">
        <f t="shared" si="3"/>
        <v>0</v>
      </c>
      <c r="Z20" s="21">
        <f t="shared" si="4"/>
        <v>0</v>
      </c>
      <c r="AA20" s="21">
        <f t="shared" si="66"/>
        <v>0</v>
      </c>
      <c r="AB20" s="63">
        <f t="shared" si="67"/>
        <v>0</v>
      </c>
      <c r="AC20" s="52">
        <f t="shared" si="5"/>
        <v>0</v>
      </c>
      <c r="AD20" s="21">
        <f t="shared" si="6"/>
        <v>0</v>
      </c>
      <c r="AE20" s="21">
        <f t="shared" si="68"/>
        <v>0</v>
      </c>
      <c r="AF20" s="63">
        <f t="shared" si="69"/>
        <v>0</v>
      </c>
      <c r="AG20" s="52">
        <f t="shared" si="7"/>
        <v>0</v>
      </c>
      <c r="AH20" s="21">
        <f t="shared" si="8"/>
        <v>0</v>
      </c>
      <c r="AI20" s="21">
        <f t="shared" si="70"/>
        <v>0</v>
      </c>
      <c r="AJ20" s="63">
        <f t="shared" si="71"/>
        <v>0</v>
      </c>
      <c r="AK20" s="52">
        <f t="shared" si="9"/>
        <v>0</v>
      </c>
      <c r="AL20" s="21">
        <f t="shared" si="10"/>
        <v>0</v>
      </c>
      <c r="AM20" s="21">
        <f t="shared" si="72"/>
        <v>0</v>
      </c>
      <c r="AN20" s="63">
        <f t="shared" si="73"/>
        <v>0</v>
      </c>
      <c r="AO20" s="52">
        <f t="shared" si="74"/>
        <v>0</v>
      </c>
      <c r="AP20" s="21">
        <f t="shared" si="11"/>
        <v>0</v>
      </c>
      <c r="AQ20" s="21">
        <f t="shared" si="75"/>
        <v>0</v>
      </c>
      <c r="AR20" s="181">
        <f t="shared" si="76"/>
        <v>0</v>
      </c>
      <c r="AS20" s="52">
        <f t="shared" si="12"/>
        <v>0</v>
      </c>
      <c r="AT20" s="21">
        <f t="shared" si="13"/>
        <v>0</v>
      </c>
      <c r="AU20" s="21">
        <f t="shared" si="14"/>
        <v>0</v>
      </c>
      <c r="AV20" s="63">
        <f t="shared" si="15"/>
        <v>0</v>
      </c>
      <c r="AW20" s="182">
        <f t="shared" si="77"/>
        <v>0.38852979470856125</v>
      </c>
      <c r="AX20" s="52">
        <f t="shared" si="78"/>
        <v>0</v>
      </c>
      <c r="AY20" s="74">
        <f t="shared" si="79"/>
        <v>0</v>
      </c>
      <c r="AZ20" s="78">
        <f t="shared" si="80"/>
        <v>0</v>
      </c>
      <c r="BA20" s="87">
        <f t="shared" si="81"/>
        <v>0</v>
      </c>
      <c r="BB20" s="110">
        <f t="shared" si="82"/>
        <v>17871.758454157614</v>
      </c>
      <c r="BC20" s="69">
        <f t="shared" si="83"/>
        <v>13.403818840618211</v>
      </c>
      <c r="BD20" s="42">
        <f t="shared" si="84"/>
        <v>12928.9236132437</v>
      </c>
      <c r="BE20" s="79">
        <f t="shared" si="85"/>
        <v>9.6966927099327744</v>
      </c>
      <c r="BF20" s="117" t="e">
        <f t="shared" si="16"/>
        <v>#NUM!</v>
      </c>
      <c r="BG20" s="118" t="e">
        <f t="shared" si="17"/>
        <v>#NUM!</v>
      </c>
      <c r="BH20" s="117">
        <f t="shared" si="18"/>
        <v>3.9418515684774288E-4</v>
      </c>
      <c r="BI20" s="118">
        <f t="shared" si="19"/>
        <v>1.0542290881294061E-2</v>
      </c>
      <c r="BJ20" s="117">
        <f t="shared" si="20"/>
        <v>0</v>
      </c>
      <c r="BK20" s="118">
        <f t="shared" si="21"/>
        <v>0</v>
      </c>
      <c r="BL20" s="91">
        <f t="shared" si="22"/>
        <v>0</v>
      </c>
      <c r="BM20" s="93">
        <f t="shared" si="23"/>
        <v>0</v>
      </c>
      <c r="BN20" s="91">
        <f t="shared" si="24"/>
        <v>0</v>
      </c>
      <c r="BO20" s="93">
        <f t="shared" si="25"/>
        <v>0</v>
      </c>
      <c r="BP20" s="91">
        <f t="shared" si="26"/>
        <v>0</v>
      </c>
      <c r="BQ20" s="93">
        <f t="shared" si="27"/>
        <v>0</v>
      </c>
      <c r="BR20" s="91">
        <f t="shared" si="28"/>
        <v>0</v>
      </c>
      <c r="BS20" s="93">
        <f t="shared" si="29"/>
        <v>0</v>
      </c>
      <c r="BT20" s="188">
        <f t="shared" si="30"/>
        <v>0</v>
      </c>
      <c r="BU20" s="93">
        <f t="shared" si="31"/>
        <v>0</v>
      </c>
      <c r="BV20" s="117" t="e">
        <f t="shared" si="86"/>
        <v>#NUM!</v>
      </c>
      <c r="BW20" s="206" t="e">
        <f t="shared" si="87"/>
        <v>#NUM!</v>
      </c>
      <c r="BX20" s="206" t="e">
        <f t="shared" si="88"/>
        <v>#NUM!</v>
      </c>
      <c r="BY20" s="97" t="e">
        <f t="shared" si="89"/>
        <v>#NUM!</v>
      </c>
      <c r="BZ20" s="123" t="e">
        <f t="shared" si="90"/>
        <v>#NUM!</v>
      </c>
      <c r="CA20" s="91">
        <f t="shared" si="91"/>
        <v>7.2653177808481234E-3</v>
      </c>
      <c r="CB20" s="92">
        <f t="shared" si="32"/>
        <v>2.5000000000000001E-3</v>
      </c>
      <c r="CC20" s="92">
        <f t="shared" si="33"/>
        <v>0</v>
      </c>
      <c r="CD20" s="92">
        <f t="shared" si="34"/>
        <v>0</v>
      </c>
      <c r="CE20" s="92">
        <f t="shared" si="35"/>
        <v>0</v>
      </c>
      <c r="CF20" s="92">
        <f t="shared" si="36"/>
        <v>0</v>
      </c>
      <c r="CG20" s="92">
        <f t="shared" si="37"/>
        <v>0</v>
      </c>
      <c r="CH20" s="92">
        <f t="shared" si="38"/>
        <v>0</v>
      </c>
      <c r="CI20" s="127">
        <f t="shared" si="92"/>
        <v>9.7653177808481231E-3</v>
      </c>
      <c r="CJ20" s="91">
        <f t="shared" si="93"/>
        <v>5.1895127006058026E-4</v>
      </c>
      <c r="CK20" s="92">
        <f t="shared" si="39"/>
        <v>3.3750000000000002E-2</v>
      </c>
      <c r="CL20" s="92">
        <f t="shared" si="40"/>
        <v>8.1000000000000016E-2</v>
      </c>
      <c r="CM20" s="127">
        <f t="shared" si="94"/>
        <v>0.11526895127006059</v>
      </c>
      <c r="CN20" s="91">
        <f t="shared" si="41"/>
        <v>0.15</v>
      </c>
      <c r="CO20" s="92">
        <f t="shared" si="42"/>
        <v>0</v>
      </c>
      <c r="CP20" s="92">
        <f t="shared" si="43"/>
        <v>0</v>
      </c>
      <c r="CQ20" s="92">
        <f t="shared" si="44"/>
        <v>0</v>
      </c>
      <c r="CR20" s="92">
        <f t="shared" si="45"/>
        <v>0</v>
      </c>
      <c r="CS20" s="92">
        <f t="shared" si="46"/>
        <v>0</v>
      </c>
      <c r="CT20" s="92">
        <f t="shared" si="47"/>
        <v>0</v>
      </c>
      <c r="CU20" s="127">
        <f t="shared" si="48"/>
        <v>0.15</v>
      </c>
      <c r="CV20" s="231">
        <f t="shared" si="49"/>
        <v>3.8179214093941281E-2</v>
      </c>
      <c r="CW20" s="188">
        <f t="shared" si="50"/>
        <v>0.31321348314484998</v>
      </c>
      <c r="CX20" s="206">
        <f t="shared" si="51"/>
        <v>7.8132134831448496</v>
      </c>
      <c r="CY20" s="231">
        <f t="shared" si="52"/>
        <v>0.95991233519722285</v>
      </c>
      <c r="CZ20">
        <f t="shared" si="53"/>
        <v>63.28</v>
      </c>
      <c r="DA20">
        <f t="shared" si="54"/>
        <v>810.40951298897357</v>
      </c>
      <c r="DD20" s="22">
        <v>80</v>
      </c>
      <c r="DE20" s="22">
        <f t="shared" si="95"/>
        <v>502.6548245743669</v>
      </c>
      <c r="DF20" s="91">
        <f t="shared" si="96"/>
        <v>45.923627163095759</v>
      </c>
      <c r="DG20" s="93">
        <f t="shared" si="97"/>
        <v>-44.389004395259754</v>
      </c>
      <c r="DH20" s="91">
        <f t="shared" si="98"/>
        <v>-4.656492117260294</v>
      </c>
      <c r="DI20" s="92">
        <f t="shared" si="99"/>
        <v>96.49284448498544</v>
      </c>
      <c r="DJ20" s="92">
        <f t="shared" si="55"/>
        <v>2.7000519962120846</v>
      </c>
      <c r="DK20" s="93">
        <f t="shared" si="100"/>
        <v>107.53514653800275</v>
      </c>
      <c r="DL20" s="91">
        <f t="shared" si="101"/>
        <v>41.267135045835467</v>
      </c>
      <c r="DM20" s="92">
        <f t="shared" si="102"/>
        <v>52.103840089725686</v>
      </c>
      <c r="DN20" s="92">
        <f t="shared" si="103"/>
        <v>48.623679159307841</v>
      </c>
      <c r="DO20" s="93">
        <f t="shared" si="104"/>
        <v>63.146142142742995</v>
      </c>
    </row>
    <row r="21" spans="1:119" ht="15" x14ac:dyDescent="0.25">
      <c r="A21" t="s">
        <v>309</v>
      </c>
      <c r="B21" s="8">
        <f>IF(n6_Flyback_Calc&lt;&gt;0,n6_Flyback/Np,0)</f>
        <v>0</v>
      </c>
      <c r="C21" s="12"/>
      <c r="K21" s="58">
        <v>17</v>
      </c>
      <c r="L21" s="131">
        <f t="shared" si="56"/>
        <v>24.36</v>
      </c>
      <c r="M21" s="130">
        <f t="shared" si="57"/>
        <v>0.30788177339901479</v>
      </c>
      <c r="N21" s="132">
        <f t="shared" si="0"/>
        <v>0.56844014299725476</v>
      </c>
      <c r="O21" s="52">
        <f t="shared" si="58"/>
        <v>0.40194787981200963</v>
      </c>
      <c r="P21" s="21">
        <f t="shared" si="59"/>
        <v>0.54162567016401175</v>
      </c>
      <c r="Q21" s="19">
        <f t="shared" si="60"/>
        <v>1.0832513403280237</v>
      </c>
      <c r="R21" s="6">
        <f t="shared" si="1"/>
        <v>0.83950790017382171</v>
      </c>
      <c r="S21" s="55">
        <f t="shared" si="61"/>
        <v>0.47153179015986585</v>
      </c>
      <c r="T21" s="133">
        <f t="shared" si="62"/>
        <v>0.35714288840749087</v>
      </c>
      <c r="U21" s="54">
        <f t="shared" si="2"/>
        <v>0.34618004708532812</v>
      </c>
      <c r="V21" s="21">
        <f t="shared" si="63"/>
        <v>2.8886702408747298</v>
      </c>
      <c r="W21" s="21">
        <f t="shared" si="64"/>
        <v>0.9812696267038824</v>
      </c>
      <c r="X21" s="63">
        <f t="shared" si="65"/>
        <v>0.84432818281257005</v>
      </c>
      <c r="Y21" s="54">
        <f t="shared" si="3"/>
        <v>0</v>
      </c>
      <c r="Z21" s="21">
        <f t="shared" si="4"/>
        <v>0</v>
      </c>
      <c r="AA21" s="21">
        <f t="shared" si="66"/>
        <v>0</v>
      </c>
      <c r="AB21" s="63">
        <f t="shared" si="67"/>
        <v>0</v>
      </c>
      <c r="AC21" s="52">
        <f t="shared" si="5"/>
        <v>0</v>
      </c>
      <c r="AD21" s="21">
        <f t="shared" si="6"/>
        <v>0</v>
      </c>
      <c r="AE21" s="21">
        <f t="shared" si="68"/>
        <v>0</v>
      </c>
      <c r="AF21" s="63">
        <f t="shared" si="69"/>
        <v>0</v>
      </c>
      <c r="AG21" s="52">
        <f t="shared" si="7"/>
        <v>0</v>
      </c>
      <c r="AH21" s="21">
        <f t="shared" si="8"/>
        <v>0</v>
      </c>
      <c r="AI21" s="21">
        <f t="shared" si="70"/>
        <v>0</v>
      </c>
      <c r="AJ21" s="63">
        <f t="shared" si="71"/>
        <v>0</v>
      </c>
      <c r="AK21" s="52">
        <f t="shared" si="9"/>
        <v>0</v>
      </c>
      <c r="AL21" s="21">
        <f t="shared" si="10"/>
        <v>0</v>
      </c>
      <c r="AM21" s="21">
        <f t="shared" si="72"/>
        <v>0</v>
      </c>
      <c r="AN21" s="63">
        <f t="shared" si="73"/>
        <v>0</v>
      </c>
      <c r="AO21" s="52">
        <f t="shared" si="74"/>
        <v>0</v>
      </c>
      <c r="AP21" s="21">
        <f t="shared" si="11"/>
        <v>0</v>
      </c>
      <c r="AQ21" s="21">
        <f t="shared" si="75"/>
        <v>0</v>
      </c>
      <c r="AR21" s="181">
        <f t="shared" si="76"/>
        <v>0</v>
      </c>
      <c r="AS21" s="52">
        <f t="shared" si="12"/>
        <v>0</v>
      </c>
      <c r="AT21" s="21">
        <f t="shared" si="13"/>
        <v>0</v>
      </c>
      <c r="AU21" s="21">
        <f t="shared" si="14"/>
        <v>0</v>
      </c>
      <c r="AV21" s="63">
        <f t="shared" si="15"/>
        <v>0</v>
      </c>
      <c r="AW21" s="182">
        <f t="shared" si="77"/>
        <v>0.38852979470856125</v>
      </c>
      <c r="AX21" s="52">
        <f t="shared" si="78"/>
        <v>0</v>
      </c>
      <c r="AY21" s="74">
        <f t="shared" si="79"/>
        <v>0</v>
      </c>
      <c r="AZ21" s="78">
        <f t="shared" si="80"/>
        <v>0</v>
      </c>
      <c r="BA21" s="87">
        <f t="shared" si="81"/>
        <v>0</v>
      </c>
      <c r="BB21" s="110">
        <f t="shared" si="82"/>
        <v>17871.758454157614</v>
      </c>
      <c r="BC21" s="69">
        <f t="shared" si="83"/>
        <v>13.403818840618211</v>
      </c>
      <c r="BD21" s="42">
        <f t="shared" si="84"/>
        <v>12928.9236132437</v>
      </c>
      <c r="BE21" s="79">
        <f t="shared" si="85"/>
        <v>9.6966927099327744</v>
      </c>
      <c r="BF21" s="117" t="e">
        <f t="shared" si="16"/>
        <v>#NUM!</v>
      </c>
      <c r="BG21" s="118" t="e">
        <f t="shared" si="17"/>
        <v>#NUM!</v>
      </c>
      <c r="BH21" s="117">
        <f t="shared" si="18"/>
        <v>3.9418515684774288E-4</v>
      </c>
      <c r="BI21" s="118">
        <f t="shared" si="19"/>
        <v>1.0542290881294061E-2</v>
      </c>
      <c r="BJ21" s="117">
        <f t="shared" si="20"/>
        <v>0</v>
      </c>
      <c r="BK21" s="118">
        <f t="shared" si="21"/>
        <v>0</v>
      </c>
      <c r="BL21" s="91">
        <f t="shared" si="22"/>
        <v>0</v>
      </c>
      <c r="BM21" s="93">
        <f t="shared" si="23"/>
        <v>0</v>
      </c>
      <c r="BN21" s="91">
        <f t="shared" si="24"/>
        <v>0</v>
      </c>
      <c r="BO21" s="93">
        <f t="shared" si="25"/>
        <v>0</v>
      </c>
      <c r="BP21" s="91">
        <f t="shared" si="26"/>
        <v>0</v>
      </c>
      <c r="BQ21" s="93">
        <f t="shared" si="27"/>
        <v>0</v>
      </c>
      <c r="BR21" s="91">
        <f t="shared" si="28"/>
        <v>0</v>
      </c>
      <c r="BS21" s="93">
        <f t="shared" si="29"/>
        <v>0</v>
      </c>
      <c r="BT21" s="188">
        <f t="shared" si="30"/>
        <v>0</v>
      </c>
      <c r="BU21" s="93">
        <f t="shared" si="31"/>
        <v>0</v>
      </c>
      <c r="BV21" s="117" t="e">
        <f t="shared" si="86"/>
        <v>#NUM!</v>
      </c>
      <c r="BW21" s="206" t="e">
        <f t="shared" si="87"/>
        <v>#NUM!</v>
      </c>
      <c r="BX21" s="206" t="e">
        <f t="shared" si="88"/>
        <v>#NUM!</v>
      </c>
      <c r="BY21" s="97" t="e">
        <f t="shared" si="89"/>
        <v>#NUM!</v>
      </c>
      <c r="BZ21" s="123" t="e">
        <f t="shared" si="90"/>
        <v>#NUM!</v>
      </c>
      <c r="CA21" s="91">
        <f t="shared" si="91"/>
        <v>6.6353830473925611E-3</v>
      </c>
      <c r="CB21" s="92">
        <f t="shared" si="32"/>
        <v>2.5000000000000001E-3</v>
      </c>
      <c r="CC21" s="92">
        <f t="shared" si="33"/>
        <v>0</v>
      </c>
      <c r="CD21" s="92">
        <f t="shared" si="34"/>
        <v>0</v>
      </c>
      <c r="CE21" s="92">
        <f t="shared" si="35"/>
        <v>0</v>
      </c>
      <c r="CF21" s="92">
        <f t="shared" si="36"/>
        <v>0</v>
      </c>
      <c r="CG21" s="92">
        <f t="shared" si="37"/>
        <v>0</v>
      </c>
      <c r="CH21" s="92">
        <f t="shared" si="38"/>
        <v>0</v>
      </c>
      <c r="CI21" s="127">
        <f t="shared" si="92"/>
        <v>9.1353830473925608E-3</v>
      </c>
      <c r="CJ21" s="91">
        <f t="shared" si="93"/>
        <v>4.7395593195661146E-4</v>
      </c>
      <c r="CK21" s="92">
        <f t="shared" si="39"/>
        <v>3.3750000000000002E-2</v>
      </c>
      <c r="CL21" s="92">
        <f t="shared" si="40"/>
        <v>8.1000000000000016E-2</v>
      </c>
      <c r="CM21" s="127">
        <f t="shared" si="94"/>
        <v>0.11522395593195664</v>
      </c>
      <c r="CN21" s="91">
        <f t="shared" si="41"/>
        <v>0.15</v>
      </c>
      <c r="CO21" s="92">
        <f t="shared" si="42"/>
        <v>0</v>
      </c>
      <c r="CP21" s="92">
        <f t="shared" si="43"/>
        <v>0</v>
      </c>
      <c r="CQ21" s="92">
        <f t="shared" si="44"/>
        <v>0</v>
      </c>
      <c r="CR21" s="92">
        <f t="shared" si="45"/>
        <v>0</v>
      </c>
      <c r="CS21" s="92">
        <f t="shared" si="46"/>
        <v>0</v>
      </c>
      <c r="CT21" s="92">
        <f t="shared" si="47"/>
        <v>0</v>
      </c>
      <c r="CU21" s="127">
        <f t="shared" si="48"/>
        <v>0.15</v>
      </c>
      <c r="CV21" s="231">
        <f t="shared" si="49"/>
        <v>3.7993307816804114E-2</v>
      </c>
      <c r="CW21" s="188">
        <f t="shared" si="50"/>
        <v>0.31235264679615327</v>
      </c>
      <c r="CX21" s="206">
        <f t="shared" si="51"/>
        <v>7.8123526467961533</v>
      </c>
      <c r="CY21" s="231">
        <f t="shared" si="52"/>
        <v>0.96001810710321056</v>
      </c>
      <c r="CZ21">
        <f t="shared" si="53"/>
        <v>64.36</v>
      </c>
      <c r="DA21">
        <f t="shared" si="54"/>
        <v>811.48951298897362</v>
      </c>
      <c r="DD21" s="22">
        <v>90</v>
      </c>
      <c r="DE21" s="22">
        <f t="shared" si="95"/>
        <v>565.48667764616278</v>
      </c>
      <c r="DF21" s="91">
        <f t="shared" si="96"/>
        <v>45.392252712174411</v>
      </c>
      <c r="DG21" s="93">
        <f t="shared" si="97"/>
        <v>-47.75407108760168</v>
      </c>
      <c r="DH21" s="91">
        <f t="shared" si="98"/>
        <v>-5.6631500549724798</v>
      </c>
      <c r="DI21" s="92">
        <f t="shared" si="99"/>
        <v>97.294694120732473</v>
      </c>
      <c r="DJ21" s="92">
        <f t="shared" si="55"/>
        <v>1.7838340972674445</v>
      </c>
      <c r="DK21" s="93">
        <f t="shared" si="100"/>
        <v>109.56075917458648</v>
      </c>
      <c r="DL21" s="91">
        <f t="shared" si="101"/>
        <v>39.729102657201935</v>
      </c>
      <c r="DM21" s="92">
        <f t="shared" si="102"/>
        <v>49.540623033130792</v>
      </c>
      <c r="DN21" s="92">
        <f t="shared" si="103"/>
        <v>47.176086809441856</v>
      </c>
      <c r="DO21" s="93">
        <f t="shared" si="104"/>
        <v>61.806688086984799</v>
      </c>
    </row>
    <row r="22" spans="1:119" ht="15" x14ac:dyDescent="0.25">
      <c r="A22" t="s">
        <v>399</v>
      </c>
      <c r="B22" s="9">
        <f>IF(AND(VOUTAUX&lt;&gt;0,n1_Flyback&lt;&gt;0,IoutPri_FBB=0),((ABS(VOUTAUX)+VdiodeAux)*(n1_Flyback/Np))/(ABS(Vout1)+Vdiode1),0)</f>
        <v>0</v>
      </c>
      <c r="K22" s="58">
        <v>18</v>
      </c>
      <c r="L22" s="131">
        <f t="shared" si="56"/>
        <v>25.44</v>
      </c>
      <c r="M22" s="130">
        <f t="shared" si="57"/>
        <v>0.29481132075471694</v>
      </c>
      <c r="N22" s="132">
        <f t="shared" si="0"/>
        <v>0.54430825013416373</v>
      </c>
      <c r="O22" s="52">
        <f t="shared" si="58"/>
        <v>0.38488405472565068</v>
      </c>
      <c r="P22" s="21">
        <f t="shared" si="59"/>
        <v>0.54162567016401175</v>
      </c>
      <c r="Q22" s="19">
        <f t="shared" si="60"/>
        <v>1.0832513403280237</v>
      </c>
      <c r="R22" s="6">
        <f t="shared" si="1"/>
        <v>0.82939042734089086</v>
      </c>
      <c r="S22" s="55">
        <f t="shared" si="61"/>
        <v>0.46141431732693494</v>
      </c>
      <c r="T22" s="133">
        <f t="shared" si="62"/>
        <v>0.35494993645462286</v>
      </c>
      <c r="U22" s="54">
        <f t="shared" si="2"/>
        <v>0.34618004708532812</v>
      </c>
      <c r="V22" s="21">
        <f t="shared" si="63"/>
        <v>2.8886702408747298</v>
      </c>
      <c r="W22" s="21">
        <f t="shared" si="64"/>
        <v>0.9812696267038824</v>
      </c>
      <c r="X22" s="63">
        <f t="shared" si="65"/>
        <v>0.84432818281257005</v>
      </c>
      <c r="Y22" s="54">
        <f t="shared" si="3"/>
        <v>0</v>
      </c>
      <c r="Z22" s="21">
        <f t="shared" si="4"/>
        <v>0</v>
      </c>
      <c r="AA22" s="21">
        <f t="shared" si="66"/>
        <v>0</v>
      </c>
      <c r="AB22" s="63">
        <f t="shared" si="67"/>
        <v>0</v>
      </c>
      <c r="AC22" s="52">
        <f t="shared" si="5"/>
        <v>0</v>
      </c>
      <c r="AD22" s="21">
        <f t="shared" si="6"/>
        <v>0</v>
      </c>
      <c r="AE22" s="21">
        <f t="shared" si="68"/>
        <v>0</v>
      </c>
      <c r="AF22" s="63">
        <f t="shared" si="69"/>
        <v>0</v>
      </c>
      <c r="AG22" s="52">
        <f t="shared" si="7"/>
        <v>0</v>
      </c>
      <c r="AH22" s="21">
        <f t="shared" si="8"/>
        <v>0</v>
      </c>
      <c r="AI22" s="21">
        <f t="shared" si="70"/>
        <v>0</v>
      </c>
      <c r="AJ22" s="63">
        <f t="shared" si="71"/>
        <v>0</v>
      </c>
      <c r="AK22" s="52">
        <f t="shared" si="9"/>
        <v>0</v>
      </c>
      <c r="AL22" s="21">
        <f t="shared" si="10"/>
        <v>0</v>
      </c>
      <c r="AM22" s="21">
        <f t="shared" si="72"/>
        <v>0</v>
      </c>
      <c r="AN22" s="63">
        <f t="shared" si="73"/>
        <v>0</v>
      </c>
      <c r="AO22" s="52">
        <f t="shared" si="74"/>
        <v>0</v>
      </c>
      <c r="AP22" s="21">
        <f t="shared" si="11"/>
        <v>0</v>
      </c>
      <c r="AQ22" s="21">
        <f t="shared" si="75"/>
        <v>0</v>
      </c>
      <c r="AR22" s="181">
        <f t="shared" si="76"/>
        <v>0</v>
      </c>
      <c r="AS22" s="52">
        <f t="shared" si="12"/>
        <v>0</v>
      </c>
      <c r="AT22" s="21">
        <f t="shared" si="13"/>
        <v>0</v>
      </c>
      <c r="AU22" s="21">
        <f t="shared" si="14"/>
        <v>0</v>
      </c>
      <c r="AV22" s="63">
        <f t="shared" si="15"/>
        <v>0</v>
      </c>
      <c r="AW22" s="182">
        <f t="shared" si="77"/>
        <v>0.38852979470856125</v>
      </c>
      <c r="AX22" s="52">
        <f t="shared" si="78"/>
        <v>0</v>
      </c>
      <c r="AY22" s="74">
        <f t="shared" si="79"/>
        <v>0</v>
      </c>
      <c r="AZ22" s="78">
        <f t="shared" si="80"/>
        <v>0</v>
      </c>
      <c r="BA22" s="87">
        <f t="shared" si="81"/>
        <v>0</v>
      </c>
      <c r="BB22" s="110">
        <f t="shared" si="82"/>
        <v>17871.758454157614</v>
      </c>
      <c r="BC22" s="69">
        <f t="shared" si="83"/>
        <v>13.403818840618211</v>
      </c>
      <c r="BD22" s="42">
        <f t="shared" si="84"/>
        <v>12928.9236132437</v>
      </c>
      <c r="BE22" s="79">
        <f t="shared" si="85"/>
        <v>9.6966927099327744</v>
      </c>
      <c r="BF22" s="117" t="e">
        <f t="shared" si="16"/>
        <v>#NUM!</v>
      </c>
      <c r="BG22" s="118" t="e">
        <f t="shared" si="17"/>
        <v>#NUM!</v>
      </c>
      <c r="BH22" s="117">
        <f t="shared" si="18"/>
        <v>3.9418515684774288E-4</v>
      </c>
      <c r="BI22" s="118">
        <f t="shared" si="19"/>
        <v>1.0542290881294061E-2</v>
      </c>
      <c r="BJ22" s="117">
        <f t="shared" si="20"/>
        <v>0</v>
      </c>
      <c r="BK22" s="118">
        <f t="shared" si="21"/>
        <v>0</v>
      </c>
      <c r="BL22" s="91">
        <f t="shared" si="22"/>
        <v>0</v>
      </c>
      <c r="BM22" s="93">
        <f t="shared" si="23"/>
        <v>0</v>
      </c>
      <c r="BN22" s="91">
        <f t="shared" si="24"/>
        <v>0</v>
      </c>
      <c r="BO22" s="93">
        <f t="shared" si="25"/>
        <v>0</v>
      </c>
      <c r="BP22" s="91">
        <f t="shared" si="26"/>
        <v>0</v>
      </c>
      <c r="BQ22" s="93">
        <f t="shared" si="27"/>
        <v>0</v>
      </c>
      <c r="BR22" s="91">
        <f t="shared" si="28"/>
        <v>0</v>
      </c>
      <c r="BS22" s="93">
        <f t="shared" si="29"/>
        <v>0</v>
      </c>
      <c r="BT22" s="188">
        <f t="shared" si="30"/>
        <v>0</v>
      </c>
      <c r="BU22" s="93">
        <f t="shared" si="31"/>
        <v>0</v>
      </c>
      <c r="BV22" s="117" t="e">
        <f t="shared" si="86"/>
        <v>#NUM!</v>
      </c>
      <c r="BW22" s="206" t="e">
        <f t="shared" si="87"/>
        <v>#NUM!</v>
      </c>
      <c r="BX22" s="206" t="e">
        <f t="shared" si="88"/>
        <v>#NUM!</v>
      </c>
      <c r="BY22" s="97" t="e">
        <f t="shared" si="89"/>
        <v>#NUM!</v>
      </c>
      <c r="BZ22" s="123" t="e">
        <f t="shared" si="90"/>
        <v>#NUM!</v>
      </c>
      <c r="CA22" s="91">
        <f t="shared" si="91"/>
        <v>6.0839600391598423E-3</v>
      </c>
      <c r="CB22" s="92">
        <f t="shared" si="32"/>
        <v>2.5000000000000001E-3</v>
      </c>
      <c r="CC22" s="92">
        <f t="shared" si="33"/>
        <v>0</v>
      </c>
      <c r="CD22" s="92">
        <f t="shared" si="34"/>
        <v>0</v>
      </c>
      <c r="CE22" s="92">
        <f t="shared" si="35"/>
        <v>0</v>
      </c>
      <c r="CF22" s="92">
        <f t="shared" si="36"/>
        <v>0</v>
      </c>
      <c r="CG22" s="92">
        <f t="shared" si="37"/>
        <v>0</v>
      </c>
      <c r="CH22" s="92">
        <f t="shared" si="38"/>
        <v>0</v>
      </c>
      <c r="CI22" s="127">
        <f t="shared" si="92"/>
        <v>8.5839600391598419E-3</v>
      </c>
      <c r="CJ22" s="91">
        <f t="shared" si="93"/>
        <v>4.3456857422570299E-4</v>
      </c>
      <c r="CK22" s="92">
        <f t="shared" si="39"/>
        <v>3.3749999999999995E-2</v>
      </c>
      <c r="CL22" s="92">
        <f t="shared" si="40"/>
        <v>8.1000000000000016E-2</v>
      </c>
      <c r="CM22" s="127">
        <f t="shared" si="94"/>
        <v>0.11518456857422571</v>
      </c>
      <c r="CN22" s="91">
        <f t="shared" si="41"/>
        <v>0.15</v>
      </c>
      <c r="CO22" s="92">
        <f t="shared" si="42"/>
        <v>0</v>
      </c>
      <c r="CP22" s="92">
        <f t="shared" si="43"/>
        <v>0</v>
      </c>
      <c r="CQ22" s="92">
        <f t="shared" si="44"/>
        <v>0</v>
      </c>
      <c r="CR22" s="92">
        <f t="shared" si="45"/>
        <v>0</v>
      </c>
      <c r="CS22" s="92">
        <f t="shared" si="46"/>
        <v>0</v>
      </c>
      <c r="CT22" s="92">
        <f t="shared" si="47"/>
        <v>0</v>
      </c>
      <c r="CU22" s="127">
        <f t="shared" si="48"/>
        <v>0.15</v>
      </c>
      <c r="CV22" s="231">
        <f t="shared" si="49"/>
        <v>3.7803896323547741E-2</v>
      </c>
      <c r="CW22" s="188">
        <f t="shared" si="50"/>
        <v>0.31157242493693327</v>
      </c>
      <c r="CX22" s="206">
        <f t="shared" si="51"/>
        <v>7.8115724249369336</v>
      </c>
      <c r="CY22" s="231">
        <f t="shared" si="52"/>
        <v>0.96011399395820762</v>
      </c>
      <c r="CZ22">
        <f t="shared" si="53"/>
        <v>65.44</v>
      </c>
      <c r="DA22">
        <f t="shared" si="54"/>
        <v>812.56951298897366</v>
      </c>
      <c r="DD22" s="22">
        <v>100</v>
      </c>
      <c r="DE22" s="22">
        <f t="shared" si="95"/>
        <v>628.31853071795865</v>
      </c>
      <c r="DF22" s="91">
        <f t="shared" si="96"/>
        <v>44.866416686459388</v>
      </c>
      <c r="DG22" s="93">
        <f t="shared" si="97"/>
        <v>-50.73259213613585</v>
      </c>
      <c r="DH22" s="91">
        <f t="shared" si="98"/>
        <v>-6.560052175540557</v>
      </c>
      <c r="DI22" s="92">
        <f t="shared" si="99"/>
        <v>98.093158571400181</v>
      </c>
      <c r="DJ22" s="92">
        <f t="shared" si="55"/>
        <v>0.98505388186145626</v>
      </c>
      <c r="DK22" s="93">
        <f t="shared" si="100"/>
        <v>111.53400145112177</v>
      </c>
      <c r="DL22" s="91">
        <f t="shared" si="101"/>
        <v>38.306364510918833</v>
      </c>
      <c r="DM22" s="92">
        <f t="shared" si="102"/>
        <v>47.360566435264332</v>
      </c>
      <c r="DN22" s="92">
        <f t="shared" si="103"/>
        <v>45.851470568320842</v>
      </c>
      <c r="DO22" s="93">
        <f t="shared" si="104"/>
        <v>60.801409314985918</v>
      </c>
    </row>
    <row r="23" spans="1:119" ht="15" x14ac:dyDescent="0.25">
      <c r="A23" t="s">
        <v>400</v>
      </c>
      <c r="B23">
        <f>IF(nAUX_Flyback_Calc&lt;&gt;0,nAux_Flyback/Np,0)</f>
        <v>0</v>
      </c>
      <c r="K23" s="58">
        <v>19</v>
      </c>
      <c r="L23" s="131">
        <f t="shared" si="56"/>
        <v>26.520000000000003</v>
      </c>
      <c r="M23" s="130">
        <f t="shared" si="57"/>
        <v>0.28280542986425333</v>
      </c>
      <c r="N23" s="132">
        <f t="shared" si="0"/>
        <v>0.52214185080743303</v>
      </c>
      <c r="O23" s="52">
        <f t="shared" si="58"/>
        <v>0.36921004344723052</v>
      </c>
      <c r="P23" s="21">
        <f t="shared" si="59"/>
        <v>0.54162567016401175</v>
      </c>
      <c r="Q23" s="19">
        <f t="shared" si="60"/>
        <v>1.0832513403280237</v>
      </c>
      <c r="R23" s="6">
        <f t="shared" si="1"/>
        <v>0.81989746080595338</v>
      </c>
      <c r="S23" s="55">
        <f t="shared" si="61"/>
        <v>0.45192135079199747</v>
      </c>
      <c r="T23" s="133">
        <f t="shared" si="62"/>
        <v>0.35249680302232317</v>
      </c>
      <c r="U23" s="54">
        <f t="shared" si="2"/>
        <v>0.34618004708532812</v>
      </c>
      <c r="V23" s="21">
        <f t="shared" si="63"/>
        <v>2.8886702408747298</v>
      </c>
      <c r="W23" s="21">
        <f t="shared" si="64"/>
        <v>0.9812696267038824</v>
      </c>
      <c r="X23" s="63">
        <f t="shared" si="65"/>
        <v>0.84432818281257005</v>
      </c>
      <c r="Y23" s="54">
        <f t="shared" si="3"/>
        <v>0</v>
      </c>
      <c r="Z23" s="21">
        <f t="shared" si="4"/>
        <v>0</v>
      </c>
      <c r="AA23" s="21">
        <f t="shared" si="66"/>
        <v>0</v>
      </c>
      <c r="AB23" s="63">
        <f t="shared" si="67"/>
        <v>0</v>
      </c>
      <c r="AC23" s="52">
        <f t="shared" si="5"/>
        <v>0</v>
      </c>
      <c r="AD23" s="21">
        <f t="shared" si="6"/>
        <v>0</v>
      </c>
      <c r="AE23" s="21">
        <f t="shared" si="68"/>
        <v>0</v>
      </c>
      <c r="AF23" s="63">
        <f t="shared" si="69"/>
        <v>0</v>
      </c>
      <c r="AG23" s="52">
        <f t="shared" si="7"/>
        <v>0</v>
      </c>
      <c r="AH23" s="21">
        <f t="shared" si="8"/>
        <v>0</v>
      </c>
      <c r="AI23" s="21">
        <f t="shared" si="70"/>
        <v>0</v>
      </c>
      <c r="AJ23" s="63">
        <f t="shared" si="71"/>
        <v>0</v>
      </c>
      <c r="AK23" s="52">
        <f t="shared" si="9"/>
        <v>0</v>
      </c>
      <c r="AL23" s="21">
        <f t="shared" si="10"/>
        <v>0</v>
      </c>
      <c r="AM23" s="21">
        <f t="shared" si="72"/>
        <v>0</v>
      </c>
      <c r="AN23" s="63">
        <f t="shared" si="73"/>
        <v>0</v>
      </c>
      <c r="AO23" s="52">
        <f t="shared" si="74"/>
        <v>0</v>
      </c>
      <c r="AP23" s="21">
        <f t="shared" si="11"/>
        <v>0</v>
      </c>
      <c r="AQ23" s="21">
        <f t="shared" si="75"/>
        <v>0</v>
      </c>
      <c r="AR23" s="181">
        <f t="shared" si="76"/>
        <v>0</v>
      </c>
      <c r="AS23" s="52">
        <f t="shared" si="12"/>
        <v>0</v>
      </c>
      <c r="AT23" s="21">
        <f t="shared" si="13"/>
        <v>0</v>
      </c>
      <c r="AU23" s="21">
        <f t="shared" si="14"/>
        <v>0</v>
      </c>
      <c r="AV23" s="63">
        <f t="shared" si="15"/>
        <v>0</v>
      </c>
      <c r="AW23" s="182">
        <f t="shared" si="77"/>
        <v>0.38852979470856125</v>
      </c>
      <c r="AX23" s="52">
        <f t="shared" si="78"/>
        <v>0</v>
      </c>
      <c r="AY23" s="74">
        <f t="shared" si="79"/>
        <v>0</v>
      </c>
      <c r="AZ23" s="78">
        <f t="shared" si="80"/>
        <v>0</v>
      </c>
      <c r="BA23" s="87">
        <f t="shared" si="81"/>
        <v>0</v>
      </c>
      <c r="BB23" s="110">
        <f t="shared" si="82"/>
        <v>17871.758454157614</v>
      </c>
      <c r="BC23" s="69">
        <f t="shared" si="83"/>
        <v>13.403818840618211</v>
      </c>
      <c r="BD23" s="42">
        <f t="shared" si="84"/>
        <v>12928.9236132437</v>
      </c>
      <c r="BE23" s="79">
        <f t="shared" si="85"/>
        <v>9.6966927099327744</v>
      </c>
      <c r="BF23" s="117" t="e">
        <f t="shared" si="16"/>
        <v>#NUM!</v>
      </c>
      <c r="BG23" s="118" t="e">
        <f t="shared" si="17"/>
        <v>#NUM!</v>
      </c>
      <c r="BH23" s="117">
        <f t="shared" si="18"/>
        <v>3.9418515684774288E-4</v>
      </c>
      <c r="BI23" s="118">
        <f t="shared" si="19"/>
        <v>1.0542290881294061E-2</v>
      </c>
      <c r="BJ23" s="117">
        <f t="shared" si="20"/>
        <v>0</v>
      </c>
      <c r="BK23" s="118">
        <f t="shared" si="21"/>
        <v>0</v>
      </c>
      <c r="BL23" s="91">
        <f t="shared" si="22"/>
        <v>0</v>
      </c>
      <c r="BM23" s="93">
        <f t="shared" si="23"/>
        <v>0</v>
      </c>
      <c r="BN23" s="91">
        <f t="shared" si="24"/>
        <v>0</v>
      </c>
      <c r="BO23" s="93">
        <f t="shared" si="25"/>
        <v>0</v>
      </c>
      <c r="BP23" s="91">
        <f t="shared" si="26"/>
        <v>0</v>
      </c>
      <c r="BQ23" s="93">
        <f t="shared" si="27"/>
        <v>0</v>
      </c>
      <c r="BR23" s="91">
        <f t="shared" si="28"/>
        <v>0</v>
      </c>
      <c r="BS23" s="93">
        <f t="shared" si="29"/>
        <v>0</v>
      </c>
      <c r="BT23" s="188">
        <f t="shared" si="30"/>
        <v>0</v>
      </c>
      <c r="BU23" s="93">
        <f t="shared" si="31"/>
        <v>0</v>
      </c>
      <c r="BV23" s="117" t="e">
        <f t="shared" si="86"/>
        <v>#NUM!</v>
      </c>
      <c r="BW23" s="206" t="e">
        <f t="shared" si="87"/>
        <v>#NUM!</v>
      </c>
      <c r="BX23" s="206" t="e">
        <f t="shared" si="88"/>
        <v>#NUM!</v>
      </c>
      <c r="BY23" s="97" t="e">
        <f t="shared" si="89"/>
        <v>#NUM!</v>
      </c>
      <c r="BZ23" s="123" t="e">
        <f t="shared" si="90"/>
        <v>#NUM!</v>
      </c>
      <c r="CA23" s="91">
        <f t="shared" si="91"/>
        <v>5.5985237812493588E-3</v>
      </c>
      <c r="CB23" s="92">
        <f t="shared" si="32"/>
        <v>2.5000000000000001E-3</v>
      </c>
      <c r="CC23" s="92">
        <f t="shared" si="33"/>
        <v>0</v>
      </c>
      <c r="CD23" s="92">
        <f t="shared" si="34"/>
        <v>0</v>
      </c>
      <c r="CE23" s="92">
        <f t="shared" si="35"/>
        <v>0</v>
      </c>
      <c r="CF23" s="92">
        <f t="shared" si="36"/>
        <v>0</v>
      </c>
      <c r="CG23" s="92">
        <f t="shared" si="37"/>
        <v>0</v>
      </c>
      <c r="CH23" s="92">
        <f t="shared" si="38"/>
        <v>0</v>
      </c>
      <c r="CI23" s="127">
        <f t="shared" si="92"/>
        <v>8.0985237812493584E-3</v>
      </c>
      <c r="CJ23" s="91">
        <f t="shared" si="93"/>
        <v>3.9989455580352558E-4</v>
      </c>
      <c r="CK23" s="92">
        <f t="shared" si="39"/>
        <v>3.3749999999999995E-2</v>
      </c>
      <c r="CL23" s="92">
        <f t="shared" si="40"/>
        <v>8.1000000000000016E-2</v>
      </c>
      <c r="CM23" s="127">
        <f t="shared" si="94"/>
        <v>0.11514989455580354</v>
      </c>
      <c r="CN23" s="91">
        <f t="shared" si="41"/>
        <v>0.15</v>
      </c>
      <c r="CO23" s="92">
        <f t="shared" si="42"/>
        <v>0</v>
      </c>
      <c r="CP23" s="92">
        <f t="shared" si="43"/>
        <v>0</v>
      </c>
      <c r="CQ23" s="92">
        <f t="shared" si="44"/>
        <v>0</v>
      </c>
      <c r="CR23" s="92">
        <f t="shared" si="45"/>
        <v>0</v>
      </c>
      <c r="CS23" s="92">
        <f t="shared" si="46"/>
        <v>0</v>
      </c>
      <c r="CT23" s="92">
        <f t="shared" si="47"/>
        <v>0</v>
      </c>
      <c r="CU23" s="127">
        <f t="shared" si="48"/>
        <v>0.15</v>
      </c>
      <c r="CV23" s="231">
        <f t="shared" si="49"/>
        <v>3.7610879535742249E-2</v>
      </c>
      <c r="CW23" s="188">
        <f t="shared" si="50"/>
        <v>0.31085929787279515</v>
      </c>
      <c r="CX23" s="206">
        <f t="shared" si="51"/>
        <v>7.8108592978727955</v>
      </c>
      <c r="CY23" s="231">
        <f t="shared" si="52"/>
        <v>0.96020165182626516</v>
      </c>
      <c r="CZ23">
        <f t="shared" si="53"/>
        <v>66.52000000000001</v>
      </c>
      <c r="DA23">
        <f t="shared" si="54"/>
        <v>813.64951298897358</v>
      </c>
      <c r="DD23" s="22">
        <v>200</v>
      </c>
      <c r="DE23" s="22">
        <f t="shared" si="95"/>
        <v>1256.6370614359173</v>
      </c>
      <c r="DF23" s="91">
        <f t="shared" si="96"/>
        <v>40.393976847601138</v>
      </c>
      <c r="DG23" s="93">
        <f t="shared" si="97"/>
        <v>-67.706539726487506</v>
      </c>
      <c r="DH23" s="91">
        <f t="shared" si="98"/>
        <v>-12.302308189779778</v>
      </c>
      <c r="DI23" s="92">
        <f t="shared" si="99"/>
        <v>105.82099673700513</v>
      </c>
      <c r="DJ23" s="92">
        <f t="shared" si="55"/>
        <v>-3.5206027053833946</v>
      </c>
      <c r="DK23" s="93">
        <f t="shared" si="100"/>
        <v>128.06346319740638</v>
      </c>
      <c r="DL23" s="91">
        <f t="shared" si="101"/>
        <v>28.091668657821359</v>
      </c>
      <c r="DM23" s="92">
        <f t="shared" si="102"/>
        <v>38.114457010517626</v>
      </c>
      <c r="DN23" s="92">
        <f t="shared" si="103"/>
        <v>36.873374142217742</v>
      </c>
      <c r="DO23" s="93">
        <f t="shared" si="104"/>
        <v>60.356923470918872</v>
      </c>
    </row>
    <row r="24" spans="1:119" ht="15" x14ac:dyDescent="0.25">
      <c r="A24" s="570" t="s">
        <v>23</v>
      </c>
      <c r="B24" s="570"/>
      <c r="K24" s="58">
        <v>20</v>
      </c>
      <c r="L24" s="131">
        <f t="shared" si="56"/>
        <v>27.6</v>
      </c>
      <c r="M24" s="130">
        <f t="shared" si="57"/>
        <v>0.27173913043478259</v>
      </c>
      <c r="N24" s="132">
        <f t="shared" si="0"/>
        <v>0.50171021316714215</v>
      </c>
      <c r="O24" s="52">
        <f t="shared" si="58"/>
        <v>0.35476269392103454</v>
      </c>
      <c r="P24" s="21">
        <f t="shared" si="59"/>
        <v>0.54162567016401186</v>
      </c>
      <c r="Q24" s="19">
        <f t="shared" si="60"/>
        <v>1.0832513403280235</v>
      </c>
      <c r="R24" s="6">
        <f t="shared" si="1"/>
        <v>0.81096728920608518</v>
      </c>
      <c r="S24" s="55">
        <f t="shared" si="61"/>
        <v>0.44299117919212927</v>
      </c>
      <c r="T24" s="133">
        <f t="shared" si="62"/>
        <v>0.34985572716847352</v>
      </c>
      <c r="U24" s="54">
        <f t="shared" si="2"/>
        <v>0.34618004708532812</v>
      </c>
      <c r="V24" s="21">
        <f t="shared" si="63"/>
        <v>2.8886702408747298</v>
      </c>
      <c r="W24" s="21">
        <f t="shared" si="64"/>
        <v>0.9812696267038824</v>
      </c>
      <c r="X24" s="63">
        <f t="shared" si="65"/>
        <v>0.84432818281257005</v>
      </c>
      <c r="Y24" s="54">
        <f t="shared" si="3"/>
        <v>0</v>
      </c>
      <c r="Z24" s="21">
        <f t="shared" si="4"/>
        <v>0</v>
      </c>
      <c r="AA24" s="21">
        <f t="shared" si="66"/>
        <v>0</v>
      </c>
      <c r="AB24" s="63">
        <f t="shared" si="67"/>
        <v>0</v>
      </c>
      <c r="AC24" s="52">
        <f t="shared" si="5"/>
        <v>0</v>
      </c>
      <c r="AD24" s="21">
        <f t="shared" si="6"/>
        <v>0</v>
      </c>
      <c r="AE24" s="21">
        <f t="shared" si="68"/>
        <v>0</v>
      </c>
      <c r="AF24" s="63">
        <f t="shared" si="69"/>
        <v>0</v>
      </c>
      <c r="AG24" s="52">
        <f t="shared" si="7"/>
        <v>0</v>
      </c>
      <c r="AH24" s="21">
        <f t="shared" si="8"/>
        <v>0</v>
      </c>
      <c r="AI24" s="21">
        <f t="shared" si="70"/>
        <v>0</v>
      </c>
      <c r="AJ24" s="63">
        <f t="shared" si="71"/>
        <v>0</v>
      </c>
      <c r="AK24" s="52">
        <f t="shared" si="9"/>
        <v>0</v>
      </c>
      <c r="AL24" s="21">
        <f t="shared" si="10"/>
        <v>0</v>
      </c>
      <c r="AM24" s="21">
        <f t="shared" si="72"/>
        <v>0</v>
      </c>
      <c r="AN24" s="63">
        <f t="shared" si="73"/>
        <v>0</v>
      </c>
      <c r="AO24" s="52">
        <f t="shared" si="74"/>
        <v>0</v>
      </c>
      <c r="AP24" s="21">
        <f t="shared" si="11"/>
        <v>0</v>
      </c>
      <c r="AQ24" s="21">
        <f t="shared" si="75"/>
        <v>0</v>
      </c>
      <c r="AR24" s="181">
        <f t="shared" si="76"/>
        <v>0</v>
      </c>
      <c r="AS24" s="52">
        <f t="shared" si="12"/>
        <v>0</v>
      </c>
      <c r="AT24" s="21">
        <f t="shared" si="13"/>
        <v>0</v>
      </c>
      <c r="AU24" s="21">
        <f t="shared" si="14"/>
        <v>0</v>
      </c>
      <c r="AV24" s="63">
        <f t="shared" si="15"/>
        <v>0</v>
      </c>
      <c r="AW24" s="182">
        <f t="shared" si="77"/>
        <v>0.38852979470856125</v>
      </c>
      <c r="AX24" s="52">
        <f t="shared" si="78"/>
        <v>0</v>
      </c>
      <c r="AY24" s="74">
        <f t="shared" si="79"/>
        <v>0</v>
      </c>
      <c r="AZ24" s="78">
        <f t="shared" si="80"/>
        <v>0</v>
      </c>
      <c r="BA24" s="87">
        <f t="shared" si="81"/>
        <v>0</v>
      </c>
      <c r="BB24" s="110">
        <f t="shared" si="82"/>
        <v>17871.758454157614</v>
      </c>
      <c r="BC24" s="69">
        <f t="shared" si="83"/>
        <v>13.403818840618211</v>
      </c>
      <c r="BD24" s="42">
        <f t="shared" si="84"/>
        <v>12928.9236132437</v>
      </c>
      <c r="BE24" s="79">
        <f t="shared" si="85"/>
        <v>9.6966927099327744</v>
      </c>
      <c r="BF24" s="117" t="e">
        <f t="shared" si="16"/>
        <v>#NUM!</v>
      </c>
      <c r="BG24" s="118" t="e">
        <f t="shared" si="17"/>
        <v>#NUM!</v>
      </c>
      <c r="BH24" s="117">
        <f t="shared" si="18"/>
        <v>3.9418515684774288E-4</v>
      </c>
      <c r="BI24" s="118">
        <f t="shared" si="19"/>
        <v>1.0542290881294061E-2</v>
      </c>
      <c r="BJ24" s="117">
        <f t="shared" si="20"/>
        <v>0</v>
      </c>
      <c r="BK24" s="118">
        <f t="shared" si="21"/>
        <v>0</v>
      </c>
      <c r="BL24" s="91">
        <f t="shared" si="22"/>
        <v>0</v>
      </c>
      <c r="BM24" s="93">
        <f t="shared" si="23"/>
        <v>0</v>
      </c>
      <c r="BN24" s="91">
        <f t="shared" si="24"/>
        <v>0</v>
      </c>
      <c r="BO24" s="93">
        <f t="shared" si="25"/>
        <v>0</v>
      </c>
      <c r="BP24" s="91">
        <f t="shared" si="26"/>
        <v>0</v>
      </c>
      <c r="BQ24" s="93">
        <f t="shared" si="27"/>
        <v>0</v>
      </c>
      <c r="BR24" s="91">
        <f t="shared" si="28"/>
        <v>0</v>
      </c>
      <c r="BS24" s="93">
        <f t="shared" si="29"/>
        <v>0</v>
      </c>
      <c r="BT24" s="188">
        <f t="shared" si="30"/>
        <v>0</v>
      </c>
      <c r="BU24" s="93">
        <f t="shared" si="31"/>
        <v>0</v>
      </c>
      <c r="BV24" s="117" t="e">
        <f t="shared" si="86"/>
        <v>#NUM!</v>
      </c>
      <c r="BW24" s="206" t="e">
        <f t="shared" si="87"/>
        <v>#NUM!</v>
      </c>
      <c r="BX24" s="206" t="e">
        <f t="shared" si="88"/>
        <v>#NUM!</v>
      </c>
      <c r="BY24" s="97" t="e">
        <f t="shared" si="89"/>
        <v>#NUM!</v>
      </c>
      <c r="BZ24" s="123" t="e">
        <f t="shared" si="90"/>
        <v>#NUM!</v>
      </c>
      <c r="CA24" s="91">
        <f t="shared" si="91"/>
        <v>5.1689508506616256E-3</v>
      </c>
      <c r="CB24" s="92">
        <f t="shared" si="32"/>
        <v>2.5000000000000001E-3</v>
      </c>
      <c r="CC24" s="92">
        <f t="shared" si="33"/>
        <v>0</v>
      </c>
      <c r="CD24" s="92">
        <f t="shared" si="34"/>
        <v>0</v>
      </c>
      <c r="CE24" s="92">
        <f t="shared" si="35"/>
        <v>0</v>
      </c>
      <c r="CF24" s="92">
        <f t="shared" si="36"/>
        <v>0</v>
      </c>
      <c r="CG24" s="92">
        <f t="shared" si="37"/>
        <v>0</v>
      </c>
      <c r="CH24" s="92">
        <f t="shared" si="38"/>
        <v>0</v>
      </c>
      <c r="CI24" s="127">
        <f t="shared" si="92"/>
        <v>7.6689508506616252E-3</v>
      </c>
      <c r="CJ24" s="91">
        <f t="shared" si="93"/>
        <v>3.6921077504725898E-4</v>
      </c>
      <c r="CK24" s="92">
        <f t="shared" si="39"/>
        <v>3.3750000000000002E-2</v>
      </c>
      <c r="CL24" s="92">
        <f t="shared" si="40"/>
        <v>8.1000000000000016E-2</v>
      </c>
      <c r="CM24" s="127">
        <f t="shared" si="94"/>
        <v>0.11511921077504728</v>
      </c>
      <c r="CN24" s="91">
        <f t="shared" si="41"/>
        <v>0.15</v>
      </c>
      <c r="CO24" s="92">
        <f t="shared" si="42"/>
        <v>0</v>
      </c>
      <c r="CP24" s="92">
        <f t="shared" si="43"/>
        <v>0</v>
      </c>
      <c r="CQ24" s="92">
        <f t="shared" si="44"/>
        <v>0</v>
      </c>
      <c r="CR24" s="92">
        <f t="shared" si="45"/>
        <v>0</v>
      </c>
      <c r="CS24" s="92">
        <f t="shared" si="46"/>
        <v>0</v>
      </c>
      <c r="CT24" s="92">
        <f t="shared" si="47"/>
        <v>0</v>
      </c>
      <c r="CU24" s="127">
        <f t="shared" si="48"/>
        <v>0.15</v>
      </c>
      <c r="CV24" s="231">
        <f t="shared" si="49"/>
        <v>3.7414153528526964E-2</v>
      </c>
      <c r="CW24" s="188">
        <f t="shared" si="50"/>
        <v>0.31020231515423591</v>
      </c>
      <c r="CX24" s="206">
        <f t="shared" si="51"/>
        <v>7.8102023151542355</v>
      </c>
      <c r="CY24" s="231">
        <f t="shared" si="52"/>
        <v>0.96028242257536067</v>
      </c>
      <c r="CZ24">
        <f t="shared" si="53"/>
        <v>67.599999999999994</v>
      </c>
      <c r="DA24">
        <f t="shared" si="54"/>
        <v>814.72951298897351</v>
      </c>
      <c r="DD24" s="22">
        <v>300</v>
      </c>
      <c r="DE24" s="22">
        <f t="shared" si="95"/>
        <v>1884.9555921538758</v>
      </c>
      <c r="DF24" s="91">
        <f t="shared" si="96"/>
        <v>37.231042257225319</v>
      </c>
      <c r="DG24" s="93">
        <f t="shared" si="97"/>
        <v>-74.640086997146838</v>
      </c>
      <c r="DH24" s="91">
        <f t="shared" si="98"/>
        <v>-15.396750720765366</v>
      </c>
      <c r="DI24" s="92">
        <f t="shared" si="99"/>
        <v>112.90395105507586</v>
      </c>
      <c r="DJ24" s="92">
        <f t="shared" si="55"/>
        <v>-5.3086878026185857</v>
      </c>
      <c r="DK24" s="93">
        <f t="shared" si="100"/>
        <v>139.22699920836814</v>
      </c>
      <c r="DL24" s="91">
        <f t="shared" si="101"/>
        <v>21.834291536459951</v>
      </c>
      <c r="DM24" s="92">
        <f t="shared" si="102"/>
        <v>38.263864057929027</v>
      </c>
      <c r="DN24" s="92">
        <f t="shared" si="103"/>
        <v>31.922354454606733</v>
      </c>
      <c r="DO24" s="93">
        <f t="shared" si="104"/>
        <v>64.586912211221303</v>
      </c>
    </row>
    <row r="25" spans="1:119" ht="15" x14ac:dyDescent="0.25">
      <c r="A25" t="s">
        <v>57</v>
      </c>
      <c r="B25" s="19">
        <f>((VinMin^2)*(D_spec^2)*eff)/(2*Fsw*Pout_Flyback)</f>
        <v>1.9999999999999999E-6</v>
      </c>
      <c r="C25" s="12" t="s">
        <v>311</v>
      </c>
      <c r="K25" s="58">
        <v>21</v>
      </c>
      <c r="L25" s="131">
        <f t="shared" si="56"/>
        <v>28.68</v>
      </c>
      <c r="M25" s="130">
        <f t="shared" si="57"/>
        <v>0.2615062761506276</v>
      </c>
      <c r="N25" s="132">
        <f t="shared" si="0"/>
        <v>0.48281735995164315</v>
      </c>
      <c r="O25" s="52">
        <f t="shared" si="58"/>
        <v>0.34140342929639311</v>
      </c>
      <c r="P25" s="21">
        <f t="shared" si="59"/>
        <v>0.54162567016401175</v>
      </c>
      <c r="Q25" s="19">
        <f t="shared" si="60"/>
        <v>1.0832513403280237</v>
      </c>
      <c r="R25" s="6">
        <f t="shared" si="1"/>
        <v>0.80254641437168794</v>
      </c>
      <c r="S25" s="55">
        <f t="shared" si="61"/>
        <v>0.43457030435773203</v>
      </c>
      <c r="T25" s="133">
        <f t="shared" si="62"/>
        <v>0.3470818591678389</v>
      </c>
      <c r="U25" s="54">
        <f t="shared" si="2"/>
        <v>0.34618004708532812</v>
      </c>
      <c r="V25" s="21">
        <f t="shared" si="63"/>
        <v>2.8886702408747298</v>
      </c>
      <c r="W25" s="21">
        <f t="shared" si="64"/>
        <v>0.9812696267038824</v>
      </c>
      <c r="X25" s="63">
        <f t="shared" si="65"/>
        <v>0.84432818281257005</v>
      </c>
      <c r="Y25" s="54">
        <f t="shared" si="3"/>
        <v>0</v>
      </c>
      <c r="Z25" s="21">
        <f t="shared" si="4"/>
        <v>0</v>
      </c>
      <c r="AA25" s="21">
        <f t="shared" si="66"/>
        <v>0</v>
      </c>
      <c r="AB25" s="63">
        <f t="shared" si="67"/>
        <v>0</v>
      </c>
      <c r="AC25" s="52">
        <f t="shared" si="5"/>
        <v>0</v>
      </c>
      <c r="AD25" s="21">
        <f t="shared" si="6"/>
        <v>0</v>
      </c>
      <c r="AE25" s="21">
        <f t="shared" si="68"/>
        <v>0</v>
      </c>
      <c r="AF25" s="63">
        <f t="shared" si="69"/>
        <v>0</v>
      </c>
      <c r="AG25" s="52">
        <f t="shared" si="7"/>
        <v>0</v>
      </c>
      <c r="AH25" s="21">
        <f t="shared" si="8"/>
        <v>0</v>
      </c>
      <c r="AI25" s="21">
        <f t="shared" si="70"/>
        <v>0</v>
      </c>
      <c r="AJ25" s="63">
        <f t="shared" si="71"/>
        <v>0</v>
      </c>
      <c r="AK25" s="52">
        <f t="shared" si="9"/>
        <v>0</v>
      </c>
      <c r="AL25" s="21">
        <f t="shared" si="10"/>
        <v>0</v>
      </c>
      <c r="AM25" s="21">
        <f t="shared" si="72"/>
        <v>0</v>
      </c>
      <c r="AN25" s="63">
        <f t="shared" si="73"/>
        <v>0</v>
      </c>
      <c r="AO25" s="52">
        <f t="shared" si="74"/>
        <v>0</v>
      </c>
      <c r="AP25" s="21">
        <f t="shared" si="11"/>
        <v>0</v>
      </c>
      <c r="AQ25" s="21">
        <f t="shared" si="75"/>
        <v>0</v>
      </c>
      <c r="AR25" s="181">
        <f t="shared" si="76"/>
        <v>0</v>
      </c>
      <c r="AS25" s="52">
        <f t="shared" si="12"/>
        <v>0</v>
      </c>
      <c r="AT25" s="21">
        <f t="shared" si="13"/>
        <v>0</v>
      </c>
      <c r="AU25" s="21">
        <f t="shared" si="14"/>
        <v>0</v>
      </c>
      <c r="AV25" s="63">
        <f t="shared" si="15"/>
        <v>0</v>
      </c>
      <c r="AW25" s="182">
        <f t="shared" si="77"/>
        <v>0.38852979470856125</v>
      </c>
      <c r="AX25" s="52">
        <f t="shared" si="78"/>
        <v>0</v>
      </c>
      <c r="AY25" s="74">
        <f t="shared" si="79"/>
        <v>0</v>
      </c>
      <c r="AZ25" s="78">
        <f t="shared" si="80"/>
        <v>0</v>
      </c>
      <c r="BA25" s="87">
        <f t="shared" si="81"/>
        <v>0</v>
      </c>
      <c r="BB25" s="110">
        <f t="shared" si="82"/>
        <v>17871.758454157614</v>
      </c>
      <c r="BC25" s="69">
        <f t="shared" si="83"/>
        <v>13.403818840618211</v>
      </c>
      <c r="BD25" s="42">
        <f t="shared" si="84"/>
        <v>12928.9236132437</v>
      </c>
      <c r="BE25" s="79">
        <f t="shared" si="85"/>
        <v>9.6966927099327744</v>
      </c>
      <c r="BF25" s="117" t="e">
        <f t="shared" si="16"/>
        <v>#NUM!</v>
      </c>
      <c r="BG25" s="118" t="e">
        <f t="shared" si="17"/>
        <v>#NUM!</v>
      </c>
      <c r="BH25" s="117">
        <f t="shared" si="18"/>
        <v>3.9418515684774288E-4</v>
      </c>
      <c r="BI25" s="118">
        <f t="shared" si="19"/>
        <v>1.0542290881294061E-2</v>
      </c>
      <c r="BJ25" s="117">
        <f t="shared" si="20"/>
        <v>0</v>
      </c>
      <c r="BK25" s="118">
        <f t="shared" si="21"/>
        <v>0</v>
      </c>
      <c r="BL25" s="91">
        <f t="shared" si="22"/>
        <v>0</v>
      </c>
      <c r="BM25" s="93">
        <f t="shared" si="23"/>
        <v>0</v>
      </c>
      <c r="BN25" s="91">
        <f t="shared" si="24"/>
        <v>0</v>
      </c>
      <c r="BO25" s="93">
        <f t="shared" si="25"/>
        <v>0</v>
      </c>
      <c r="BP25" s="91">
        <f t="shared" si="26"/>
        <v>0</v>
      </c>
      <c r="BQ25" s="93">
        <f t="shared" si="27"/>
        <v>0</v>
      </c>
      <c r="BR25" s="91">
        <f t="shared" si="28"/>
        <v>0</v>
      </c>
      <c r="BS25" s="93">
        <f t="shared" si="29"/>
        <v>0</v>
      </c>
      <c r="BT25" s="188">
        <f t="shared" si="30"/>
        <v>0</v>
      </c>
      <c r="BU25" s="93">
        <f t="shared" si="31"/>
        <v>0</v>
      </c>
      <c r="BV25" s="117" t="e">
        <f t="shared" si="86"/>
        <v>#NUM!</v>
      </c>
      <c r="BW25" s="206" t="e">
        <f t="shared" si="87"/>
        <v>#NUM!</v>
      </c>
      <c r="BX25" s="206" t="e">
        <f t="shared" si="88"/>
        <v>#NUM!</v>
      </c>
      <c r="BY25" s="97" t="e">
        <f t="shared" si="89"/>
        <v>#NUM!</v>
      </c>
      <c r="BZ25" s="123" t="e">
        <f t="shared" si="90"/>
        <v>#NUM!</v>
      </c>
      <c r="CA25" s="91">
        <f t="shared" si="91"/>
        <v>4.7869872726317812E-3</v>
      </c>
      <c r="CB25" s="92">
        <f t="shared" si="32"/>
        <v>2.5000000000000001E-3</v>
      </c>
      <c r="CC25" s="92">
        <f t="shared" si="33"/>
        <v>0</v>
      </c>
      <c r="CD25" s="92">
        <f t="shared" si="34"/>
        <v>0</v>
      </c>
      <c r="CE25" s="92">
        <f t="shared" si="35"/>
        <v>0</v>
      </c>
      <c r="CF25" s="92">
        <f t="shared" si="36"/>
        <v>0</v>
      </c>
      <c r="CG25" s="92">
        <f t="shared" si="37"/>
        <v>0</v>
      </c>
      <c r="CH25" s="92">
        <f t="shared" si="38"/>
        <v>0</v>
      </c>
      <c r="CI25" s="127">
        <f t="shared" si="92"/>
        <v>7.2869872726317817E-3</v>
      </c>
      <c r="CJ25" s="91">
        <f t="shared" si="93"/>
        <v>3.4192766233084149E-4</v>
      </c>
      <c r="CK25" s="92">
        <f t="shared" si="39"/>
        <v>3.3750000000000002E-2</v>
      </c>
      <c r="CL25" s="92">
        <f t="shared" si="40"/>
        <v>8.1000000000000016E-2</v>
      </c>
      <c r="CM25" s="127">
        <f t="shared" si="94"/>
        <v>0.11509192766233087</v>
      </c>
      <c r="CN25" s="91">
        <f t="shared" si="41"/>
        <v>0.15</v>
      </c>
      <c r="CO25" s="92">
        <f t="shared" si="42"/>
        <v>0</v>
      </c>
      <c r="CP25" s="92">
        <f t="shared" si="43"/>
        <v>0</v>
      </c>
      <c r="CQ25" s="92">
        <f t="shared" si="44"/>
        <v>0</v>
      </c>
      <c r="CR25" s="92">
        <f t="shared" si="45"/>
        <v>0</v>
      </c>
      <c r="CS25" s="92">
        <f t="shared" si="46"/>
        <v>0</v>
      </c>
      <c r="CT25" s="92">
        <f t="shared" si="47"/>
        <v>0</v>
      </c>
      <c r="CU25" s="127">
        <f t="shared" si="48"/>
        <v>0.15</v>
      </c>
      <c r="CV25" s="231">
        <f t="shared" si="49"/>
        <v>3.7213610344024733E-2</v>
      </c>
      <c r="CW25" s="188">
        <f t="shared" si="50"/>
        <v>0.3095925252789874</v>
      </c>
      <c r="CX25" s="206">
        <f t="shared" si="51"/>
        <v>7.8095925252789877</v>
      </c>
      <c r="CY25" s="231">
        <f t="shared" si="52"/>
        <v>0.96035740350384957</v>
      </c>
      <c r="CZ25">
        <f t="shared" si="53"/>
        <v>68.680000000000007</v>
      </c>
      <c r="DA25">
        <f t="shared" si="54"/>
        <v>815.80951298897355</v>
      </c>
      <c r="DD25" s="22">
        <v>400</v>
      </c>
      <c r="DE25" s="22">
        <f t="shared" si="95"/>
        <v>2513.2741228718346</v>
      </c>
      <c r="DF25" s="91">
        <f t="shared" si="96"/>
        <v>34.86524469274292</v>
      </c>
      <c r="DG25" s="93">
        <f t="shared" si="97"/>
        <v>-78.280206066225816</v>
      </c>
      <c r="DH25" s="91">
        <f t="shared" si="98"/>
        <v>-17.360486898928041</v>
      </c>
      <c r="DI25" s="92">
        <f t="shared" si="99"/>
        <v>119.18914918062832</v>
      </c>
      <c r="DJ25" s="92">
        <f t="shared" si="55"/>
        <v>-6.1622223337230118</v>
      </c>
      <c r="DK25" s="93">
        <f t="shared" si="100"/>
        <v>146.64219982489649</v>
      </c>
      <c r="DL25" s="91">
        <f t="shared" si="101"/>
        <v>17.504757793814878</v>
      </c>
      <c r="DM25" s="92">
        <f t="shared" si="102"/>
        <v>40.908943114402504</v>
      </c>
      <c r="DN25" s="92">
        <f t="shared" si="103"/>
        <v>28.703022359019908</v>
      </c>
      <c r="DO25" s="93">
        <f t="shared" si="104"/>
        <v>68.361993758670678</v>
      </c>
    </row>
    <row r="26" spans="1:119" ht="15" x14ac:dyDescent="0.25">
      <c r="A26" t="s">
        <v>310</v>
      </c>
      <c r="B26" s="19">
        <f>Lm_Flyback_DCM</f>
        <v>4.261E-5</v>
      </c>
      <c r="C26" s="12" t="s">
        <v>311</v>
      </c>
      <c r="K26" s="58">
        <v>22</v>
      </c>
      <c r="L26" s="131">
        <f t="shared" si="56"/>
        <v>29.76</v>
      </c>
      <c r="M26" s="130">
        <f t="shared" si="57"/>
        <v>0.25201612903225806</v>
      </c>
      <c r="N26" s="132">
        <f t="shared" si="0"/>
        <v>0.46529576221146252</v>
      </c>
      <c r="O26" s="52">
        <f t="shared" si="58"/>
        <v>0.32901378871708847</v>
      </c>
      <c r="P26" s="21">
        <f t="shared" si="59"/>
        <v>0.54162567016401175</v>
      </c>
      <c r="Q26" s="19">
        <f t="shared" si="60"/>
        <v>1.0832513403280237</v>
      </c>
      <c r="R26" s="6">
        <f t="shared" si="1"/>
        <v>0.79458819732394126</v>
      </c>
      <c r="S26" s="55">
        <f t="shared" si="61"/>
        <v>0.42661208730998534</v>
      </c>
      <c r="T26" s="133">
        <f t="shared" si="62"/>
        <v>0.34421758198351637</v>
      </c>
      <c r="U26" s="54">
        <f t="shared" si="2"/>
        <v>0.34618004708532812</v>
      </c>
      <c r="V26" s="21">
        <f t="shared" si="63"/>
        <v>2.8886702408747298</v>
      </c>
      <c r="W26" s="21">
        <f t="shared" si="64"/>
        <v>0.9812696267038824</v>
      </c>
      <c r="X26" s="63">
        <f t="shared" si="65"/>
        <v>0.84432818281257005</v>
      </c>
      <c r="Y26" s="54">
        <f t="shared" si="3"/>
        <v>0</v>
      </c>
      <c r="Z26" s="21">
        <f t="shared" si="4"/>
        <v>0</v>
      </c>
      <c r="AA26" s="21">
        <f t="shared" si="66"/>
        <v>0</v>
      </c>
      <c r="AB26" s="63">
        <f t="shared" si="67"/>
        <v>0</v>
      </c>
      <c r="AC26" s="52">
        <f t="shared" si="5"/>
        <v>0</v>
      </c>
      <c r="AD26" s="21">
        <f t="shared" si="6"/>
        <v>0</v>
      </c>
      <c r="AE26" s="21">
        <f t="shared" si="68"/>
        <v>0</v>
      </c>
      <c r="AF26" s="63">
        <f t="shared" si="69"/>
        <v>0</v>
      </c>
      <c r="AG26" s="52">
        <f t="shared" si="7"/>
        <v>0</v>
      </c>
      <c r="AH26" s="21">
        <f t="shared" si="8"/>
        <v>0</v>
      </c>
      <c r="AI26" s="21">
        <f t="shared" si="70"/>
        <v>0</v>
      </c>
      <c r="AJ26" s="63">
        <f t="shared" si="71"/>
        <v>0</v>
      </c>
      <c r="AK26" s="52">
        <f t="shared" si="9"/>
        <v>0</v>
      </c>
      <c r="AL26" s="21">
        <f t="shared" si="10"/>
        <v>0</v>
      </c>
      <c r="AM26" s="21">
        <f t="shared" si="72"/>
        <v>0</v>
      </c>
      <c r="AN26" s="63">
        <f t="shared" si="73"/>
        <v>0</v>
      </c>
      <c r="AO26" s="52">
        <f t="shared" si="74"/>
        <v>0</v>
      </c>
      <c r="AP26" s="21">
        <f t="shared" si="11"/>
        <v>0</v>
      </c>
      <c r="AQ26" s="21">
        <f t="shared" si="75"/>
        <v>0</v>
      </c>
      <c r="AR26" s="181">
        <f t="shared" si="76"/>
        <v>0</v>
      </c>
      <c r="AS26" s="52">
        <f t="shared" si="12"/>
        <v>0</v>
      </c>
      <c r="AT26" s="21">
        <f t="shared" si="13"/>
        <v>0</v>
      </c>
      <c r="AU26" s="21">
        <f t="shared" si="14"/>
        <v>0</v>
      </c>
      <c r="AV26" s="63">
        <f t="shared" si="15"/>
        <v>0</v>
      </c>
      <c r="AW26" s="182">
        <f t="shared" si="77"/>
        <v>0.38852979470856125</v>
      </c>
      <c r="AX26" s="52">
        <f t="shared" si="78"/>
        <v>0</v>
      </c>
      <c r="AY26" s="74">
        <f t="shared" si="79"/>
        <v>0</v>
      </c>
      <c r="AZ26" s="78">
        <f t="shared" si="80"/>
        <v>0</v>
      </c>
      <c r="BA26" s="87">
        <f t="shared" si="81"/>
        <v>0</v>
      </c>
      <c r="BB26" s="110">
        <f t="shared" si="82"/>
        <v>17871.758454157614</v>
      </c>
      <c r="BC26" s="69">
        <f t="shared" si="83"/>
        <v>13.403818840618211</v>
      </c>
      <c r="BD26" s="42">
        <f t="shared" si="84"/>
        <v>12928.9236132437</v>
      </c>
      <c r="BE26" s="79">
        <f t="shared" si="85"/>
        <v>9.6966927099327744</v>
      </c>
      <c r="BF26" s="117" t="e">
        <f t="shared" si="16"/>
        <v>#NUM!</v>
      </c>
      <c r="BG26" s="118" t="e">
        <f t="shared" si="17"/>
        <v>#NUM!</v>
      </c>
      <c r="BH26" s="117">
        <f t="shared" si="18"/>
        <v>3.9418515684774288E-4</v>
      </c>
      <c r="BI26" s="118">
        <f t="shared" si="19"/>
        <v>1.0542290881294061E-2</v>
      </c>
      <c r="BJ26" s="117">
        <f t="shared" si="20"/>
        <v>0</v>
      </c>
      <c r="BK26" s="118">
        <f t="shared" si="21"/>
        <v>0</v>
      </c>
      <c r="BL26" s="91">
        <f t="shared" si="22"/>
        <v>0</v>
      </c>
      <c r="BM26" s="93">
        <f t="shared" si="23"/>
        <v>0</v>
      </c>
      <c r="BN26" s="91">
        <f t="shared" si="24"/>
        <v>0</v>
      </c>
      <c r="BO26" s="93">
        <f t="shared" si="25"/>
        <v>0</v>
      </c>
      <c r="BP26" s="91">
        <f t="shared" si="26"/>
        <v>0</v>
      </c>
      <c r="BQ26" s="93">
        <f t="shared" si="27"/>
        <v>0</v>
      </c>
      <c r="BR26" s="91">
        <f t="shared" si="28"/>
        <v>0</v>
      </c>
      <c r="BS26" s="93">
        <f t="shared" si="29"/>
        <v>0</v>
      </c>
      <c r="BT26" s="188">
        <f t="shared" si="30"/>
        <v>0</v>
      </c>
      <c r="BU26" s="93">
        <f t="shared" si="31"/>
        <v>0</v>
      </c>
      <c r="BV26" s="117" t="e">
        <f t="shared" si="86"/>
        <v>#NUM!</v>
      </c>
      <c r="BW26" s="206" t="e">
        <f t="shared" si="87"/>
        <v>#NUM!</v>
      </c>
      <c r="BX26" s="206" t="e">
        <f t="shared" si="88"/>
        <v>#NUM!</v>
      </c>
      <c r="BY26" s="97" t="e">
        <f t="shared" si="89"/>
        <v>#NUM!</v>
      </c>
      <c r="BZ26" s="123" t="e">
        <f t="shared" si="90"/>
        <v>#NUM!</v>
      </c>
      <c r="CA26" s="91">
        <f t="shared" si="91"/>
        <v>4.4458490504682624E-3</v>
      </c>
      <c r="CB26" s="92">
        <f t="shared" si="32"/>
        <v>2.5000000000000001E-3</v>
      </c>
      <c r="CC26" s="92">
        <f t="shared" si="33"/>
        <v>0</v>
      </c>
      <c r="CD26" s="92">
        <f t="shared" si="34"/>
        <v>0</v>
      </c>
      <c r="CE26" s="92">
        <f t="shared" si="35"/>
        <v>0</v>
      </c>
      <c r="CF26" s="92">
        <f t="shared" si="36"/>
        <v>0</v>
      </c>
      <c r="CG26" s="92">
        <f t="shared" si="37"/>
        <v>0</v>
      </c>
      <c r="CH26" s="92">
        <f t="shared" si="38"/>
        <v>0</v>
      </c>
      <c r="CI26" s="127">
        <f t="shared" si="92"/>
        <v>6.945849050468262E-3</v>
      </c>
      <c r="CJ26" s="91">
        <f t="shared" si="93"/>
        <v>3.1756064646201872E-4</v>
      </c>
      <c r="CK26" s="92">
        <f t="shared" si="39"/>
        <v>3.3750000000000002E-2</v>
      </c>
      <c r="CL26" s="92">
        <f t="shared" si="40"/>
        <v>8.1000000000000016E-2</v>
      </c>
      <c r="CM26" s="127">
        <f t="shared" si="94"/>
        <v>0.11506756064646204</v>
      </c>
      <c r="CN26" s="91">
        <f t="shared" si="41"/>
        <v>0.15</v>
      </c>
      <c r="CO26" s="92">
        <f t="shared" si="42"/>
        <v>0</v>
      </c>
      <c r="CP26" s="92">
        <f t="shared" si="43"/>
        <v>0</v>
      </c>
      <c r="CQ26" s="92">
        <f t="shared" si="44"/>
        <v>0</v>
      </c>
      <c r="CR26" s="92">
        <f t="shared" si="45"/>
        <v>0</v>
      </c>
      <c r="CS26" s="92">
        <f t="shared" si="46"/>
        <v>0</v>
      </c>
      <c r="CT26" s="92">
        <f t="shared" si="47"/>
        <v>0</v>
      </c>
      <c r="CU26" s="127">
        <f t="shared" si="48"/>
        <v>0.15</v>
      </c>
      <c r="CV26" s="231">
        <f t="shared" si="49"/>
        <v>3.7009137793788408E-2</v>
      </c>
      <c r="CW26" s="188">
        <f t="shared" si="50"/>
        <v>0.30902254749071867</v>
      </c>
      <c r="CX26" s="206">
        <f t="shared" si="51"/>
        <v>7.8090225474907182</v>
      </c>
      <c r="CY26" s="231">
        <f t="shared" si="52"/>
        <v>0.96042749965038621</v>
      </c>
      <c r="CZ26">
        <f t="shared" si="53"/>
        <v>69.760000000000005</v>
      </c>
      <c r="DA26">
        <f t="shared" si="54"/>
        <v>816.88951298897359</v>
      </c>
      <c r="DD26" s="22">
        <v>500</v>
      </c>
      <c r="DE26" s="22">
        <f t="shared" si="95"/>
        <v>3141.5926535897929</v>
      </c>
      <c r="DF26" s="91">
        <f t="shared" si="96"/>
        <v>32.990016213388735</v>
      </c>
      <c r="DG26" s="93">
        <f t="shared" si="97"/>
        <v>-80.495044034183223</v>
      </c>
      <c r="DH26" s="91">
        <f t="shared" si="98"/>
        <v>-18.695967380159651</v>
      </c>
      <c r="DI26" s="92">
        <f t="shared" si="99"/>
        <v>124.63993922213001</v>
      </c>
      <c r="DJ26" s="92">
        <f t="shared" si="55"/>
        <v>-6.6231600182829196</v>
      </c>
      <c r="DK26" s="93">
        <f t="shared" si="100"/>
        <v>151.69557636710007</v>
      </c>
      <c r="DL26" s="91">
        <f t="shared" si="101"/>
        <v>14.294048833229084</v>
      </c>
      <c r="DM26" s="92">
        <f t="shared" si="102"/>
        <v>44.144895187946787</v>
      </c>
      <c r="DN26" s="92">
        <f t="shared" si="103"/>
        <v>26.366856195105814</v>
      </c>
      <c r="DO26" s="93">
        <f t="shared" si="104"/>
        <v>71.20053233291685</v>
      </c>
    </row>
    <row r="27" spans="1:119" ht="15" x14ac:dyDescent="0.25">
      <c r="A27" t="s">
        <v>95</v>
      </c>
      <c r="B27" s="8">
        <f>MAX(Flyback_DCM_Calc!Q4:Q54)</f>
        <v>1.0832513403280237</v>
      </c>
      <c r="C27" s="12" t="s">
        <v>6</v>
      </c>
      <c r="K27" s="58">
        <v>23</v>
      </c>
      <c r="L27" s="131">
        <f t="shared" si="56"/>
        <v>30.840000000000003</v>
      </c>
      <c r="M27" s="130">
        <f t="shared" si="57"/>
        <v>0.24319066147859919</v>
      </c>
      <c r="N27" s="132">
        <f t="shared" si="0"/>
        <v>0.44900135808732566</v>
      </c>
      <c r="O27" s="52">
        <f t="shared" si="58"/>
        <v>0.31749190506551728</v>
      </c>
      <c r="P27" s="21">
        <f t="shared" si="59"/>
        <v>0.54162567016401175</v>
      </c>
      <c r="Q27" s="19">
        <f t="shared" si="60"/>
        <v>1.0832513403280237</v>
      </c>
      <c r="R27" s="6">
        <f t="shared" si="1"/>
        <v>0.78705176746493166</v>
      </c>
      <c r="S27" s="55">
        <f t="shared" si="61"/>
        <v>0.41907565745097575</v>
      </c>
      <c r="T27" s="133">
        <f t="shared" si="62"/>
        <v>0.3412956326084014</v>
      </c>
      <c r="U27" s="54">
        <f t="shared" si="2"/>
        <v>0.34618004708532812</v>
      </c>
      <c r="V27" s="21">
        <f t="shared" si="63"/>
        <v>2.8886702408747298</v>
      </c>
      <c r="W27" s="21">
        <f t="shared" si="64"/>
        <v>0.9812696267038824</v>
      </c>
      <c r="X27" s="63">
        <f t="shared" si="65"/>
        <v>0.84432818281257005</v>
      </c>
      <c r="Y27" s="54">
        <f t="shared" si="3"/>
        <v>0</v>
      </c>
      <c r="Z27" s="21">
        <f t="shared" si="4"/>
        <v>0</v>
      </c>
      <c r="AA27" s="21">
        <f t="shared" si="66"/>
        <v>0</v>
      </c>
      <c r="AB27" s="63">
        <f t="shared" si="67"/>
        <v>0</v>
      </c>
      <c r="AC27" s="52">
        <f t="shared" si="5"/>
        <v>0</v>
      </c>
      <c r="AD27" s="21">
        <f t="shared" si="6"/>
        <v>0</v>
      </c>
      <c r="AE27" s="21">
        <f t="shared" si="68"/>
        <v>0</v>
      </c>
      <c r="AF27" s="63">
        <f t="shared" si="69"/>
        <v>0</v>
      </c>
      <c r="AG27" s="52">
        <f t="shared" si="7"/>
        <v>0</v>
      </c>
      <c r="AH27" s="21">
        <f t="shared" si="8"/>
        <v>0</v>
      </c>
      <c r="AI27" s="21">
        <f t="shared" si="70"/>
        <v>0</v>
      </c>
      <c r="AJ27" s="63">
        <f t="shared" si="71"/>
        <v>0</v>
      </c>
      <c r="AK27" s="52">
        <f t="shared" si="9"/>
        <v>0</v>
      </c>
      <c r="AL27" s="21">
        <f t="shared" si="10"/>
        <v>0</v>
      </c>
      <c r="AM27" s="21">
        <f t="shared" si="72"/>
        <v>0</v>
      </c>
      <c r="AN27" s="63">
        <f t="shared" si="73"/>
        <v>0</v>
      </c>
      <c r="AO27" s="52">
        <f t="shared" si="74"/>
        <v>0</v>
      </c>
      <c r="AP27" s="21">
        <f t="shared" si="11"/>
        <v>0</v>
      </c>
      <c r="AQ27" s="21">
        <f t="shared" si="75"/>
        <v>0</v>
      </c>
      <c r="AR27" s="181">
        <f t="shared" si="76"/>
        <v>0</v>
      </c>
      <c r="AS27" s="52">
        <f t="shared" si="12"/>
        <v>0</v>
      </c>
      <c r="AT27" s="21">
        <f t="shared" si="13"/>
        <v>0</v>
      </c>
      <c r="AU27" s="21">
        <f t="shared" si="14"/>
        <v>0</v>
      </c>
      <c r="AV27" s="63">
        <f t="shared" si="15"/>
        <v>0</v>
      </c>
      <c r="AW27" s="182">
        <f t="shared" si="77"/>
        <v>0.38852979470856125</v>
      </c>
      <c r="AX27" s="52">
        <f t="shared" si="78"/>
        <v>0</v>
      </c>
      <c r="AY27" s="74">
        <f t="shared" si="79"/>
        <v>0</v>
      </c>
      <c r="AZ27" s="78">
        <f t="shared" si="80"/>
        <v>0</v>
      </c>
      <c r="BA27" s="87">
        <f t="shared" si="81"/>
        <v>0</v>
      </c>
      <c r="BB27" s="110">
        <f t="shared" si="82"/>
        <v>17871.758454157614</v>
      </c>
      <c r="BC27" s="69">
        <f t="shared" si="83"/>
        <v>13.403818840618211</v>
      </c>
      <c r="BD27" s="42">
        <f t="shared" si="84"/>
        <v>12928.9236132437</v>
      </c>
      <c r="BE27" s="79">
        <f t="shared" si="85"/>
        <v>9.6966927099327744</v>
      </c>
      <c r="BF27" s="117" t="e">
        <f t="shared" si="16"/>
        <v>#NUM!</v>
      </c>
      <c r="BG27" s="118" t="e">
        <f t="shared" si="17"/>
        <v>#NUM!</v>
      </c>
      <c r="BH27" s="117">
        <f t="shared" si="18"/>
        <v>3.9418515684774288E-4</v>
      </c>
      <c r="BI27" s="118">
        <f t="shared" si="19"/>
        <v>1.0542290881294061E-2</v>
      </c>
      <c r="BJ27" s="117">
        <f t="shared" si="20"/>
        <v>0</v>
      </c>
      <c r="BK27" s="118">
        <f t="shared" si="21"/>
        <v>0</v>
      </c>
      <c r="BL27" s="91">
        <f t="shared" si="22"/>
        <v>0</v>
      </c>
      <c r="BM27" s="93">
        <f t="shared" si="23"/>
        <v>0</v>
      </c>
      <c r="BN27" s="91">
        <f t="shared" si="24"/>
        <v>0</v>
      </c>
      <c r="BO27" s="93">
        <f t="shared" si="25"/>
        <v>0</v>
      </c>
      <c r="BP27" s="91">
        <f t="shared" si="26"/>
        <v>0</v>
      </c>
      <c r="BQ27" s="93">
        <f t="shared" si="27"/>
        <v>0</v>
      </c>
      <c r="BR27" s="91">
        <f t="shared" si="28"/>
        <v>0</v>
      </c>
      <c r="BS27" s="93">
        <f t="shared" si="29"/>
        <v>0</v>
      </c>
      <c r="BT27" s="188">
        <f t="shared" si="30"/>
        <v>0</v>
      </c>
      <c r="BU27" s="93">
        <f t="shared" si="31"/>
        <v>0</v>
      </c>
      <c r="BV27" s="117" t="e">
        <f t="shared" si="86"/>
        <v>#NUM!</v>
      </c>
      <c r="BW27" s="206" t="e">
        <f t="shared" si="87"/>
        <v>#NUM!</v>
      </c>
      <c r="BX27" s="206" t="e">
        <f t="shared" si="88"/>
        <v>#NUM!</v>
      </c>
      <c r="BY27" s="97" t="e">
        <f t="shared" si="89"/>
        <v>#NUM!</v>
      </c>
      <c r="BZ27" s="123" t="e">
        <f t="shared" si="90"/>
        <v>#NUM!</v>
      </c>
      <c r="CA27" s="91">
        <f t="shared" si="91"/>
        <v>4.1399188481279041E-3</v>
      </c>
      <c r="CB27" s="92">
        <f t="shared" si="32"/>
        <v>2.5000000000000001E-3</v>
      </c>
      <c r="CC27" s="92">
        <f t="shared" si="33"/>
        <v>0</v>
      </c>
      <c r="CD27" s="92">
        <f t="shared" si="34"/>
        <v>0</v>
      </c>
      <c r="CE27" s="92">
        <f t="shared" si="35"/>
        <v>0</v>
      </c>
      <c r="CF27" s="92">
        <f t="shared" si="36"/>
        <v>0</v>
      </c>
      <c r="CG27" s="92">
        <f t="shared" si="37"/>
        <v>0</v>
      </c>
      <c r="CH27" s="92">
        <f t="shared" si="38"/>
        <v>0</v>
      </c>
      <c r="CI27" s="127">
        <f t="shared" si="92"/>
        <v>6.6399188481279046E-3</v>
      </c>
      <c r="CJ27" s="91">
        <f t="shared" si="93"/>
        <v>2.9570848915199316E-4</v>
      </c>
      <c r="CK27" s="92">
        <f t="shared" si="39"/>
        <v>3.3750000000000002E-2</v>
      </c>
      <c r="CL27" s="92">
        <f t="shared" si="40"/>
        <v>8.1000000000000016E-2</v>
      </c>
      <c r="CM27" s="127">
        <f t="shared" si="94"/>
        <v>0.11504570848915202</v>
      </c>
      <c r="CN27" s="91">
        <f t="shared" si="41"/>
        <v>0.15</v>
      </c>
      <c r="CO27" s="92">
        <f t="shared" si="42"/>
        <v>0</v>
      </c>
      <c r="CP27" s="92">
        <f t="shared" si="43"/>
        <v>0</v>
      </c>
      <c r="CQ27" s="92">
        <f t="shared" si="44"/>
        <v>0</v>
      </c>
      <c r="CR27" s="92">
        <f t="shared" si="45"/>
        <v>0</v>
      </c>
      <c r="CS27" s="92">
        <f t="shared" si="46"/>
        <v>0</v>
      </c>
      <c r="CT27" s="92">
        <f t="shared" si="47"/>
        <v>0</v>
      </c>
      <c r="CU27" s="127">
        <f t="shared" si="48"/>
        <v>0.15</v>
      </c>
      <c r="CV27" s="231">
        <f t="shared" si="49"/>
        <v>3.68006192495203E-2</v>
      </c>
      <c r="CW27" s="188">
        <f t="shared" si="50"/>
        <v>0.30848624658680024</v>
      </c>
      <c r="CX27" s="206">
        <f t="shared" si="51"/>
        <v>7.8084862465868001</v>
      </c>
      <c r="CY27" s="231">
        <f t="shared" si="52"/>
        <v>0.9604934635414587</v>
      </c>
      <c r="CZ27">
        <f t="shared" si="53"/>
        <v>70.84</v>
      </c>
      <c r="DA27">
        <f t="shared" si="54"/>
        <v>817.96951298897363</v>
      </c>
      <c r="DD27" s="22">
        <v>600</v>
      </c>
      <c r="DE27" s="22">
        <f t="shared" si="95"/>
        <v>3769.9111843077517</v>
      </c>
      <c r="DF27" s="91">
        <f t="shared" si="96"/>
        <v>31.441002181380043</v>
      </c>
      <c r="DG27" s="93">
        <f t="shared" si="97"/>
        <v>-81.972811594305526</v>
      </c>
      <c r="DH27" s="91">
        <f t="shared" si="98"/>
        <v>-19.641862913845959</v>
      </c>
      <c r="DI27" s="92">
        <f t="shared" si="99"/>
        <v>129.29854086490499</v>
      </c>
      <c r="DJ27" s="92">
        <f t="shared" si="55"/>
        <v>-6.8966449890969468</v>
      </c>
      <c r="DK27" s="93">
        <f t="shared" si="100"/>
        <v>155.25534596759871</v>
      </c>
      <c r="DL27" s="91">
        <f t="shared" si="101"/>
        <v>11.799139267534084</v>
      </c>
      <c r="DM27" s="92">
        <f t="shared" si="102"/>
        <v>47.325729270599467</v>
      </c>
      <c r="DN27" s="92">
        <f t="shared" si="103"/>
        <v>24.544357192283094</v>
      </c>
      <c r="DO27" s="93">
        <f t="shared" si="104"/>
        <v>73.282534373293188</v>
      </c>
    </row>
    <row r="28" spans="1:119" ht="15" x14ac:dyDescent="0.25">
      <c r="A28" t="s">
        <v>96</v>
      </c>
      <c r="B28" s="8">
        <f>MAX(Flyback_DCM_Calc!Q5:Q55)</f>
        <v>1.0832513403280237</v>
      </c>
      <c r="C28" s="12" t="s">
        <v>6</v>
      </c>
      <c r="K28" s="58">
        <v>24</v>
      </c>
      <c r="L28" s="131">
        <f t="shared" si="56"/>
        <v>31.92</v>
      </c>
      <c r="M28" s="130">
        <f t="shared" si="57"/>
        <v>0.23496240601503762</v>
      </c>
      <c r="N28" s="132">
        <f t="shared" si="0"/>
        <v>0.43380958281369436</v>
      </c>
      <c r="O28" s="52">
        <f t="shared" si="58"/>
        <v>0.30674969775127048</v>
      </c>
      <c r="P28" s="21">
        <f t="shared" si="59"/>
        <v>0.54162567016401186</v>
      </c>
      <c r="Q28" s="19">
        <f t="shared" si="60"/>
        <v>1.0832513403280235</v>
      </c>
      <c r="R28" s="6">
        <f t="shared" si="1"/>
        <v>0.77990113656003879</v>
      </c>
      <c r="S28" s="55">
        <f t="shared" si="61"/>
        <v>0.41192502654608293</v>
      </c>
      <c r="T28" s="133">
        <f t="shared" si="62"/>
        <v>0.33834138862192981</v>
      </c>
      <c r="U28" s="54">
        <f t="shared" si="2"/>
        <v>0.34618004708532812</v>
      </c>
      <c r="V28" s="21">
        <f t="shared" si="63"/>
        <v>2.8886702408747298</v>
      </c>
      <c r="W28" s="21">
        <f t="shared" si="64"/>
        <v>0.9812696267038824</v>
      </c>
      <c r="X28" s="63">
        <f t="shared" si="65"/>
        <v>0.84432818281257005</v>
      </c>
      <c r="Y28" s="54">
        <f t="shared" si="3"/>
        <v>0</v>
      </c>
      <c r="Z28" s="21">
        <f t="shared" si="4"/>
        <v>0</v>
      </c>
      <c r="AA28" s="21">
        <f t="shared" si="66"/>
        <v>0</v>
      </c>
      <c r="AB28" s="63">
        <f t="shared" si="67"/>
        <v>0</v>
      </c>
      <c r="AC28" s="52">
        <f t="shared" si="5"/>
        <v>0</v>
      </c>
      <c r="AD28" s="21">
        <f t="shared" si="6"/>
        <v>0</v>
      </c>
      <c r="AE28" s="21">
        <f t="shared" si="68"/>
        <v>0</v>
      </c>
      <c r="AF28" s="63">
        <f t="shared" si="69"/>
        <v>0</v>
      </c>
      <c r="AG28" s="52">
        <f t="shared" si="7"/>
        <v>0</v>
      </c>
      <c r="AH28" s="21">
        <f t="shared" si="8"/>
        <v>0</v>
      </c>
      <c r="AI28" s="21">
        <f t="shared" si="70"/>
        <v>0</v>
      </c>
      <c r="AJ28" s="63">
        <f t="shared" si="71"/>
        <v>0</v>
      </c>
      <c r="AK28" s="52">
        <f t="shared" si="9"/>
        <v>0</v>
      </c>
      <c r="AL28" s="21">
        <f t="shared" si="10"/>
        <v>0</v>
      </c>
      <c r="AM28" s="21">
        <f t="shared" si="72"/>
        <v>0</v>
      </c>
      <c r="AN28" s="63">
        <f t="shared" si="73"/>
        <v>0</v>
      </c>
      <c r="AO28" s="52">
        <f t="shared" si="74"/>
        <v>0</v>
      </c>
      <c r="AP28" s="21">
        <f t="shared" si="11"/>
        <v>0</v>
      </c>
      <c r="AQ28" s="21">
        <f t="shared" si="75"/>
        <v>0</v>
      </c>
      <c r="AR28" s="181">
        <f t="shared" si="76"/>
        <v>0</v>
      </c>
      <c r="AS28" s="52">
        <f t="shared" si="12"/>
        <v>0</v>
      </c>
      <c r="AT28" s="21">
        <f t="shared" si="13"/>
        <v>0</v>
      </c>
      <c r="AU28" s="21">
        <f t="shared" si="14"/>
        <v>0</v>
      </c>
      <c r="AV28" s="63">
        <f t="shared" si="15"/>
        <v>0</v>
      </c>
      <c r="AW28" s="182">
        <f t="shared" si="77"/>
        <v>0.38852979470856125</v>
      </c>
      <c r="AX28" s="52">
        <f t="shared" si="78"/>
        <v>0</v>
      </c>
      <c r="AY28" s="74">
        <f t="shared" si="79"/>
        <v>0</v>
      </c>
      <c r="AZ28" s="78">
        <f t="shared" si="80"/>
        <v>0</v>
      </c>
      <c r="BA28" s="87">
        <f t="shared" si="81"/>
        <v>0</v>
      </c>
      <c r="BB28" s="110">
        <f t="shared" si="82"/>
        <v>17871.758454157614</v>
      </c>
      <c r="BC28" s="69">
        <f t="shared" si="83"/>
        <v>13.403818840618211</v>
      </c>
      <c r="BD28" s="42">
        <f t="shared" si="84"/>
        <v>12928.9236132437</v>
      </c>
      <c r="BE28" s="79">
        <f t="shared" si="85"/>
        <v>9.6966927099327744</v>
      </c>
      <c r="BF28" s="117" t="e">
        <f t="shared" si="16"/>
        <v>#NUM!</v>
      </c>
      <c r="BG28" s="118" t="e">
        <f t="shared" si="17"/>
        <v>#NUM!</v>
      </c>
      <c r="BH28" s="117">
        <f t="shared" si="18"/>
        <v>3.9418515684774288E-4</v>
      </c>
      <c r="BI28" s="118">
        <f t="shared" si="19"/>
        <v>1.0542290881294061E-2</v>
      </c>
      <c r="BJ28" s="117">
        <f t="shared" si="20"/>
        <v>0</v>
      </c>
      <c r="BK28" s="118">
        <f t="shared" si="21"/>
        <v>0</v>
      </c>
      <c r="BL28" s="91">
        <f t="shared" si="22"/>
        <v>0</v>
      </c>
      <c r="BM28" s="93">
        <f t="shared" si="23"/>
        <v>0</v>
      </c>
      <c r="BN28" s="91">
        <f t="shared" si="24"/>
        <v>0</v>
      </c>
      <c r="BO28" s="93">
        <f t="shared" si="25"/>
        <v>0</v>
      </c>
      <c r="BP28" s="91">
        <f t="shared" si="26"/>
        <v>0</v>
      </c>
      <c r="BQ28" s="93">
        <f t="shared" si="27"/>
        <v>0</v>
      </c>
      <c r="BR28" s="91">
        <f t="shared" si="28"/>
        <v>0</v>
      </c>
      <c r="BS28" s="93">
        <f t="shared" si="29"/>
        <v>0</v>
      </c>
      <c r="BT28" s="188">
        <f t="shared" si="30"/>
        <v>0</v>
      </c>
      <c r="BU28" s="93">
        <f t="shared" si="31"/>
        <v>0</v>
      </c>
      <c r="BV28" s="117" t="e">
        <f t="shared" si="86"/>
        <v>#NUM!</v>
      </c>
      <c r="BW28" s="206" t="e">
        <f t="shared" si="87"/>
        <v>#NUM!</v>
      </c>
      <c r="BX28" s="206" t="e">
        <f t="shared" si="88"/>
        <v>#NUM!</v>
      </c>
      <c r="BY28" s="97" t="e">
        <f t="shared" si="89"/>
        <v>#NUM!</v>
      </c>
      <c r="BZ28" s="123" t="e">
        <f t="shared" si="90"/>
        <v>#NUM!</v>
      </c>
      <c r="CA28" s="91">
        <f t="shared" si="91"/>
        <v>3.8645132568262777E-3</v>
      </c>
      <c r="CB28" s="92">
        <f t="shared" si="32"/>
        <v>2.5000000000000001E-3</v>
      </c>
      <c r="CC28" s="92">
        <f t="shared" si="33"/>
        <v>0</v>
      </c>
      <c r="CD28" s="92">
        <f t="shared" si="34"/>
        <v>0</v>
      </c>
      <c r="CE28" s="92">
        <f t="shared" si="35"/>
        <v>0</v>
      </c>
      <c r="CF28" s="92">
        <f t="shared" si="36"/>
        <v>0</v>
      </c>
      <c r="CG28" s="92">
        <f t="shared" si="37"/>
        <v>0</v>
      </c>
      <c r="CH28" s="92">
        <f t="shared" si="38"/>
        <v>0</v>
      </c>
      <c r="CI28" s="127">
        <f t="shared" si="92"/>
        <v>6.3645132568262777E-3</v>
      </c>
      <c r="CJ28" s="91">
        <f t="shared" si="93"/>
        <v>2.7603666120187695E-4</v>
      </c>
      <c r="CK28" s="92">
        <f t="shared" si="39"/>
        <v>3.3750000000000009E-2</v>
      </c>
      <c r="CL28" s="92">
        <f t="shared" si="40"/>
        <v>8.1000000000000016E-2</v>
      </c>
      <c r="CM28" s="127">
        <f t="shared" si="94"/>
        <v>0.1150260366612019</v>
      </c>
      <c r="CN28" s="91">
        <f t="shared" si="41"/>
        <v>0.15</v>
      </c>
      <c r="CO28" s="92">
        <f t="shared" si="42"/>
        <v>0</v>
      </c>
      <c r="CP28" s="92">
        <f t="shared" si="43"/>
        <v>0</v>
      </c>
      <c r="CQ28" s="92">
        <f t="shared" si="44"/>
        <v>0</v>
      </c>
      <c r="CR28" s="92">
        <f t="shared" si="45"/>
        <v>0</v>
      </c>
      <c r="CS28" s="92">
        <f t="shared" si="46"/>
        <v>0</v>
      </c>
      <c r="CT28" s="92">
        <f t="shared" si="47"/>
        <v>0</v>
      </c>
      <c r="CU28" s="127">
        <f t="shared" si="48"/>
        <v>0.15</v>
      </c>
      <c r="CV28" s="231">
        <f t="shared" si="49"/>
        <v>3.6587933421243855E-2</v>
      </c>
      <c r="CW28" s="188">
        <f t="shared" si="50"/>
        <v>0.30797848333927202</v>
      </c>
      <c r="CX28" s="206">
        <f t="shared" si="51"/>
        <v>7.807978483339272</v>
      </c>
      <c r="CY28" s="231">
        <f t="shared" si="52"/>
        <v>0.96055592571157322</v>
      </c>
      <c r="CZ28">
        <f t="shared" si="53"/>
        <v>71.92</v>
      </c>
      <c r="DA28">
        <f t="shared" si="54"/>
        <v>819.04951298897345</v>
      </c>
      <c r="DD28" s="22">
        <v>700</v>
      </c>
      <c r="DE28" s="22">
        <f t="shared" si="95"/>
        <v>4398.22971502571</v>
      </c>
      <c r="DF28" s="91">
        <f t="shared" si="96"/>
        <v>30.123087950795451</v>
      </c>
      <c r="DG28" s="93">
        <f t="shared" si="97"/>
        <v>-83.021914983354904</v>
      </c>
      <c r="DH28" s="91">
        <f t="shared" si="98"/>
        <v>-20.331917499938346</v>
      </c>
      <c r="DI28" s="92">
        <f t="shared" si="99"/>
        <v>133.24760226062426</v>
      </c>
      <c r="DJ28" s="92">
        <f t="shared" si="55"/>
        <v>-7.0713090935699361</v>
      </c>
      <c r="DK28" s="93">
        <f t="shared" si="100"/>
        <v>157.83819779975619</v>
      </c>
      <c r="DL28" s="91">
        <f t="shared" si="101"/>
        <v>9.7911704508571056</v>
      </c>
      <c r="DM28" s="92">
        <f t="shared" si="102"/>
        <v>50.225687277269358</v>
      </c>
      <c r="DN28" s="92">
        <f t="shared" si="103"/>
        <v>23.051778857225514</v>
      </c>
      <c r="DO28" s="93">
        <f t="shared" si="104"/>
        <v>74.816282816401284</v>
      </c>
    </row>
    <row r="29" spans="1:119" ht="15" x14ac:dyDescent="0.25">
      <c r="A29" t="s">
        <v>97</v>
      </c>
      <c r="B29" s="8">
        <f>MAX(Flyback_DCM_Calc!S4:S54)</f>
        <v>0.95011023059082633</v>
      </c>
      <c r="C29" s="12" t="s">
        <v>6</v>
      </c>
      <c r="K29" s="58">
        <v>25</v>
      </c>
      <c r="L29" s="131">
        <f t="shared" si="56"/>
        <v>33</v>
      </c>
      <c r="M29" s="130">
        <f t="shared" si="57"/>
        <v>0.22727272727272727</v>
      </c>
      <c r="N29" s="132">
        <f t="shared" si="0"/>
        <v>0.41961217828524622</v>
      </c>
      <c r="O29" s="52">
        <f t="shared" si="58"/>
        <v>0.29671061673395616</v>
      </c>
      <c r="P29" s="21">
        <f t="shared" si="59"/>
        <v>0.54162567016401175</v>
      </c>
      <c r="Q29" s="19">
        <f t="shared" si="60"/>
        <v>1.0832513403280237</v>
      </c>
      <c r="R29" s="6">
        <f t="shared" si="1"/>
        <v>0.77310447357147272</v>
      </c>
      <c r="S29" s="55">
        <f t="shared" si="61"/>
        <v>0.4051283635575168</v>
      </c>
      <c r="T29" s="133">
        <f t="shared" si="62"/>
        <v>0.33537456432593105</v>
      </c>
      <c r="U29" s="54">
        <f t="shared" si="2"/>
        <v>0.34618004708532812</v>
      </c>
      <c r="V29" s="21">
        <f t="shared" si="63"/>
        <v>2.8886702408747298</v>
      </c>
      <c r="W29" s="21">
        <f t="shared" si="64"/>
        <v>0.9812696267038824</v>
      </c>
      <c r="X29" s="63">
        <f t="shared" si="65"/>
        <v>0.84432818281257005</v>
      </c>
      <c r="Y29" s="54">
        <f t="shared" si="3"/>
        <v>0</v>
      </c>
      <c r="Z29" s="21">
        <f t="shared" si="4"/>
        <v>0</v>
      </c>
      <c r="AA29" s="21">
        <f t="shared" si="66"/>
        <v>0</v>
      </c>
      <c r="AB29" s="63">
        <f t="shared" si="67"/>
        <v>0</v>
      </c>
      <c r="AC29" s="52">
        <f t="shared" si="5"/>
        <v>0</v>
      </c>
      <c r="AD29" s="21">
        <f t="shared" si="6"/>
        <v>0</v>
      </c>
      <c r="AE29" s="21">
        <f t="shared" si="68"/>
        <v>0</v>
      </c>
      <c r="AF29" s="63">
        <f t="shared" si="69"/>
        <v>0</v>
      </c>
      <c r="AG29" s="52">
        <f t="shared" si="7"/>
        <v>0</v>
      </c>
      <c r="AH29" s="21">
        <f t="shared" si="8"/>
        <v>0</v>
      </c>
      <c r="AI29" s="21">
        <f t="shared" si="70"/>
        <v>0</v>
      </c>
      <c r="AJ29" s="63">
        <f t="shared" si="71"/>
        <v>0</v>
      </c>
      <c r="AK29" s="52">
        <f t="shared" si="9"/>
        <v>0</v>
      </c>
      <c r="AL29" s="21">
        <f t="shared" si="10"/>
        <v>0</v>
      </c>
      <c r="AM29" s="21">
        <f t="shared" si="72"/>
        <v>0</v>
      </c>
      <c r="AN29" s="63">
        <f t="shared" si="73"/>
        <v>0</v>
      </c>
      <c r="AO29" s="52">
        <f t="shared" si="74"/>
        <v>0</v>
      </c>
      <c r="AP29" s="21">
        <f t="shared" si="11"/>
        <v>0</v>
      </c>
      <c r="AQ29" s="21">
        <f t="shared" si="75"/>
        <v>0</v>
      </c>
      <c r="AR29" s="181">
        <f t="shared" si="76"/>
        <v>0</v>
      </c>
      <c r="AS29" s="52">
        <f t="shared" si="12"/>
        <v>0</v>
      </c>
      <c r="AT29" s="21">
        <f t="shared" si="13"/>
        <v>0</v>
      </c>
      <c r="AU29" s="21">
        <f t="shared" si="14"/>
        <v>0</v>
      </c>
      <c r="AV29" s="63">
        <f t="shared" si="15"/>
        <v>0</v>
      </c>
      <c r="AW29" s="182">
        <f t="shared" si="77"/>
        <v>0.38852979470856125</v>
      </c>
      <c r="AX29" s="52">
        <f t="shared" si="78"/>
        <v>0</v>
      </c>
      <c r="AY29" s="74">
        <f t="shared" si="79"/>
        <v>0</v>
      </c>
      <c r="AZ29" s="78">
        <f t="shared" si="80"/>
        <v>0</v>
      </c>
      <c r="BA29" s="87">
        <f t="shared" si="81"/>
        <v>0</v>
      </c>
      <c r="BB29" s="110">
        <f t="shared" si="82"/>
        <v>17871.758454157614</v>
      </c>
      <c r="BC29" s="69">
        <f t="shared" si="83"/>
        <v>13.403818840618211</v>
      </c>
      <c r="BD29" s="42">
        <f t="shared" si="84"/>
        <v>12928.9236132437</v>
      </c>
      <c r="BE29" s="79">
        <f t="shared" si="85"/>
        <v>9.6966927099327744</v>
      </c>
      <c r="BF29" s="117" t="e">
        <f t="shared" si="16"/>
        <v>#NUM!</v>
      </c>
      <c r="BG29" s="118" t="e">
        <f t="shared" si="17"/>
        <v>#NUM!</v>
      </c>
      <c r="BH29" s="117">
        <f t="shared" si="18"/>
        <v>3.9418515684774288E-4</v>
      </c>
      <c r="BI29" s="118">
        <f t="shared" si="19"/>
        <v>1.0542290881294061E-2</v>
      </c>
      <c r="BJ29" s="117">
        <f t="shared" si="20"/>
        <v>0</v>
      </c>
      <c r="BK29" s="118">
        <f t="shared" si="21"/>
        <v>0</v>
      </c>
      <c r="BL29" s="91">
        <f t="shared" si="22"/>
        <v>0</v>
      </c>
      <c r="BM29" s="93">
        <f t="shared" si="23"/>
        <v>0</v>
      </c>
      <c r="BN29" s="91">
        <f t="shared" si="24"/>
        <v>0</v>
      </c>
      <c r="BO29" s="93">
        <f t="shared" si="25"/>
        <v>0</v>
      </c>
      <c r="BP29" s="91">
        <f t="shared" si="26"/>
        <v>0</v>
      </c>
      <c r="BQ29" s="93">
        <f t="shared" si="27"/>
        <v>0</v>
      </c>
      <c r="BR29" s="91">
        <f t="shared" si="28"/>
        <v>0</v>
      </c>
      <c r="BS29" s="93">
        <f t="shared" si="29"/>
        <v>0</v>
      </c>
      <c r="BT29" s="188">
        <f t="shared" si="30"/>
        <v>0</v>
      </c>
      <c r="BU29" s="93">
        <f t="shared" si="31"/>
        <v>0</v>
      </c>
      <c r="BV29" s="117" t="e">
        <f t="shared" si="86"/>
        <v>#NUM!</v>
      </c>
      <c r="BW29" s="206" t="e">
        <f t="shared" si="87"/>
        <v>#NUM!</v>
      </c>
      <c r="BX29" s="206" t="e">
        <f t="shared" si="88"/>
        <v>#NUM!</v>
      </c>
      <c r="BY29" s="97" t="e">
        <f t="shared" si="89"/>
        <v>#NUM!</v>
      </c>
      <c r="BZ29" s="123" t="e">
        <f t="shared" si="90"/>
        <v>#NUM!</v>
      </c>
      <c r="CA29" s="91">
        <f t="shared" si="91"/>
        <v>3.6157024793388431E-3</v>
      </c>
      <c r="CB29" s="92">
        <f t="shared" si="32"/>
        <v>2.5000000000000001E-3</v>
      </c>
      <c r="CC29" s="92">
        <f t="shared" si="33"/>
        <v>0</v>
      </c>
      <c r="CD29" s="92">
        <f t="shared" si="34"/>
        <v>0</v>
      </c>
      <c r="CE29" s="92">
        <f t="shared" si="35"/>
        <v>0</v>
      </c>
      <c r="CF29" s="92">
        <f t="shared" si="36"/>
        <v>0</v>
      </c>
      <c r="CG29" s="92">
        <f t="shared" si="37"/>
        <v>0</v>
      </c>
      <c r="CH29" s="92">
        <f t="shared" si="38"/>
        <v>0</v>
      </c>
      <c r="CI29" s="127">
        <f t="shared" si="92"/>
        <v>6.1157024793388436E-3</v>
      </c>
      <c r="CJ29" s="91">
        <f t="shared" si="93"/>
        <v>2.5826446280991731E-4</v>
      </c>
      <c r="CK29" s="92">
        <f t="shared" si="39"/>
        <v>3.3750000000000002E-2</v>
      </c>
      <c r="CL29" s="92">
        <f t="shared" si="40"/>
        <v>8.1000000000000016E-2</v>
      </c>
      <c r="CM29" s="127">
        <f t="shared" si="94"/>
        <v>0.11500826446280993</v>
      </c>
      <c r="CN29" s="91">
        <f t="shared" si="41"/>
        <v>0.15</v>
      </c>
      <c r="CO29" s="92">
        <f t="shared" si="42"/>
        <v>0</v>
      </c>
      <c r="CP29" s="92">
        <f t="shared" si="43"/>
        <v>0</v>
      </c>
      <c r="CQ29" s="92">
        <f t="shared" si="44"/>
        <v>0</v>
      </c>
      <c r="CR29" s="92">
        <f t="shared" si="45"/>
        <v>0</v>
      </c>
      <c r="CS29" s="92">
        <f t="shared" si="46"/>
        <v>0</v>
      </c>
      <c r="CT29" s="92">
        <f t="shared" si="47"/>
        <v>0</v>
      </c>
      <c r="CU29" s="127">
        <f t="shared" si="48"/>
        <v>0.15</v>
      </c>
      <c r="CV29" s="231">
        <f t="shared" si="49"/>
        <v>3.6370954122041478E-2</v>
      </c>
      <c r="CW29" s="188">
        <f t="shared" si="50"/>
        <v>0.30749492106419024</v>
      </c>
      <c r="CX29" s="206">
        <f t="shared" si="51"/>
        <v>7.8074949210641904</v>
      </c>
      <c r="CY29" s="231">
        <f t="shared" si="52"/>
        <v>0.96061541836747333</v>
      </c>
      <c r="CZ29">
        <f t="shared" si="53"/>
        <v>73</v>
      </c>
      <c r="DA29">
        <f t="shared" si="54"/>
        <v>820.1295129889736</v>
      </c>
      <c r="DD29" s="22">
        <v>800</v>
      </c>
      <c r="DE29" s="22">
        <f t="shared" si="95"/>
        <v>5026.5482457436692</v>
      </c>
      <c r="DF29" s="91">
        <f t="shared" si="96"/>
        <v>28.976966286760799</v>
      </c>
      <c r="DG29" s="93">
        <f t="shared" si="97"/>
        <v>-83.80030763834813</v>
      </c>
      <c r="DH29" s="91">
        <f t="shared" si="98"/>
        <v>-20.84775733722217</v>
      </c>
      <c r="DI29" s="92">
        <f t="shared" si="99"/>
        <v>136.58270864733316</v>
      </c>
      <c r="DJ29" s="92">
        <f t="shared" si="55"/>
        <v>-7.189644336590943</v>
      </c>
      <c r="DK29" s="93">
        <f t="shared" si="100"/>
        <v>159.75692630114588</v>
      </c>
      <c r="DL29" s="91">
        <f t="shared" si="101"/>
        <v>8.1292089495386293</v>
      </c>
      <c r="DM29" s="92">
        <f t="shared" si="102"/>
        <v>52.782401008985033</v>
      </c>
      <c r="DN29" s="92">
        <f t="shared" si="103"/>
        <v>21.787321950169854</v>
      </c>
      <c r="DO29" s="93">
        <f t="shared" si="104"/>
        <v>75.956618662797752</v>
      </c>
    </row>
    <row r="30" spans="1:119" ht="15" x14ac:dyDescent="0.25">
      <c r="A30" s="113" t="s">
        <v>313</v>
      </c>
      <c r="B30" s="113"/>
      <c r="K30" s="58">
        <v>26</v>
      </c>
      <c r="L30" s="131">
        <f t="shared" si="56"/>
        <v>34.08</v>
      </c>
      <c r="M30" s="130">
        <f t="shared" si="57"/>
        <v>0.22007042253521128</v>
      </c>
      <c r="N30" s="132">
        <f t="shared" si="0"/>
        <v>0.40631460925508001</v>
      </c>
      <c r="O30" s="52">
        <f t="shared" si="58"/>
        <v>0.28730781549942941</v>
      </c>
      <c r="P30" s="21">
        <f t="shared" si="59"/>
        <v>0.54162567016401175</v>
      </c>
      <c r="Q30" s="19">
        <f t="shared" si="60"/>
        <v>1.0832513403280237</v>
      </c>
      <c r="R30" s="6">
        <f t="shared" si="1"/>
        <v>0.76663350693335097</v>
      </c>
      <c r="S30" s="55">
        <f t="shared" si="61"/>
        <v>0.39865739691939506</v>
      </c>
      <c r="T30" s="133">
        <f t="shared" si="62"/>
        <v>0.33241048305329007</v>
      </c>
      <c r="U30" s="54">
        <f t="shared" si="2"/>
        <v>0.34618004708532812</v>
      </c>
      <c r="V30" s="21">
        <f t="shared" si="63"/>
        <v>2.8886702408747298</v>
      </c>
      <c r="W30" s="21">
        <f t="shared" si="64"/>
        <v>0.9812696267038824</v>
      </c>
      <c r="X30" s="63">
        <f t="shared" si="65"/>
        <v>0.84432818281257005</v>
      </c>
      <c r="Y30" s="54">
        <f t="shared" si="3"/>
        <v>0</v>
      </c>
      <c r="Z30" s="21">
        <f t="shared" si="4"/>
        <v>0</v>
      </c>
      <c r="AA30" s="21">
        <f t="shared" si="66"/>
        <v>0</v>
      </c>
      <c r="AB30" s="63">
        <f t="shared" si="67"/>
        <v>0</v>
      </c>
      <c r="AC30" s="52">
        <f t="shared" si="5"/>
        <v>0</v>
      </c>
      <c r="AD30" s="21">
        <f t="shared" si="6"/>
        <v>0</v>
      </c>
      <c r="AE30" s="21">
        <f t="shared" si="68"/>
        <v>0</v>
      </c>
      <c r="AF30" s="63">
        <f t="shared" si="69"/>
        <v>0</v>
      </c>
      <c r="AG30" s="52">
        <f t="shared" si="7"/>
        <v>0</v>
      </c>
      <c r="AH30" s="21">
        <f t="shared" si="8"/>
        <v>0</v>
      </c>
      <c r="AI30" s="21">
        <f t="shared" si="70"/>
        <v>0</v>
      </c>
      <c r="AJ30" s="63">
        <f t="shared" si="71"/>
        <v>0</v>
      </c>
      <c r="AK30" s="52">
        <f t="shared" si="9"/>
        <v>0</v>
      </c>
      <c r="AL30" s="21">
        <f t="shared" si="10"/>
        <v>0</v>
      </c>
      <c r="AM30" s="21">
        <f t="shared" si="72"/>
        <v>0</v>
      </c>
      <c r="AN30" s="63">
        <f t="shared" si="73"/>
        <v>0</v>
      </c>
      <c r="AO30" s="52">
        <f t="shared" si="74"/>
        <v>0</v>
      </c>
      <c r="AP30" s="21">
        <f t="shared" si="11"/>
        <v>0</v>
      </c>
      <c r="AQ30" s="21">
        <f t="shared" si="75"/>
        <v>0</v>
      </c>
      <c r="AR30" s="181">
        <f t="shared" si="76"/>
        <v>0</v>
      </c>
      <c r="AS30" s="52">
        <f t="shared" si="12"/>
        <v>0</v>
      </c>
      <c r="AT30" s="21">
        <f t="shared" si="13"/>
        <v>0</v>
      </c>
      <c r="AU30" s="21">
        <f t="shared" si="14"/>
        <v>0</v>
      </c>
      <c r="AV30" s="63">
        <f t="shared" si="15"/>
        <v>0</v>
      </c>
      <c r="AW30" s="182">
        <f t="shared" si="77"/>
        <v>0.38852979470856125</v>
      </c>
      <c r="AX30" s="52">
        <f t="shared" si="78"/>
        <v>0</v>
      </c>
      <c r="AY30" s="74">
        <f t="shared" si="79"/>
        <v>0</v>
      </c>
      <c r="AZ30" s="78">
        <f t="shared" si="80"/>
        <v>0</v>
      </c>
      <c r="BA30" s="87">
        <f t="shared" si="81"/>
        <v>0</v>
      </c>
      <c r="BB30" s="110">
        <f t="shared" si="82"/>
        <v>17871.758454157614</v>
      </c>
      <c r="BC30" s="69">
        <f t="shared" si="83"/>
        <v>13.403818840618211</v>
      </c>
      <c r="BD30" s="42">
        <f t="shared" si="84"/>
        <v>12928.9236132437</v>
      </c>
      <c r="BE30" s="79">
        <f t="shared" si="85"/>
        <v>9.6966927099327744</v>
      </c>
      <c r="BF30" s="117" t="e">
        <f t="shared" si="16"/>
        <v>#NUM!</v>
      </c>
      <c r="BG30" s="118" t="e">
        <f t="shared" si="17"/>
        <v>#NUM!</v>
      </c>
      <c r="BH30" s="117">
        <f t="shared" si="18"/>
        <v>3.9418515684774288E-4</v>
      </c>
      <c r="BI30" s="118">
        <f t="shared" si="19"/>
        <v>1.0542290881294061E-2</v>
      </c>
      <c r="BJ30" s="117">
        <f t="shared" si="20"/>
        <v>0</v>
      </c>
      <c r="BK30" s="118">
        <f t="shared" si="21"/>
        <v>0</v>
      </c>
      <c r="BL30" s="91">
        <f t="shared" si="22"/>
        <v>0</v>
      </c>
      <c r="BM30" s="93">
        <f t="shared" si="23"/>
        <v>0</v>
      </c>
      <c r="BN30" s="91">
        <f t="shared" si="24"/>
        <v>0</v>
      </c>
      <c r="BO30" s="93">
        <f t="shared" si="25"/>
        <v>0</v>
      </c>
      <c r="BP30" s="91">
        <f t="shared" si="26"/>
        <v>0</v>
      </c>
      <c r="BQ30" s="93">
        <f t="shared" si="27"/>
        <v>0</v>
      </c>
      <c r="BR30" s="91">
        <f t="shared" si="28"/>
        <v>0</v>
      </c>
      <c r="BS30" s="93">
        <f t="shared" si="29"/>
        <v>0</v>
      </c>
      <c r="BT30" s="188">
        <f t="shared" si="30"/>
        <v>0</v>
      </c>
      <c r="BU30" s="93">
        <f t="shared" si="31"/>
        <v>0</v>
      </c>
      <c r="BV30" s="117" t="e">
        <f t="shared" si="86"/>
        <v>#NUM!</v>
      </c>
      <c r="BW30" s="206" t="e">
        <f t="shared" si="87"/>
        <v>#NUM!</v>
      </c>
      <c r="BX30" s="206" t="e">
        <f t="shared" si="88"/>
        <v>#NUM!</v>
      </c>
      <c r="BY30" s="97" t="e">
        <f t="shared" si="89"/>
        <v>#NUM!</v>
      </c>
      <c r="BZ30" s="123" t="e">
        <f t="shared" si="90"/>
        <v>#NUM!</v>
      </c>
      <c r="CA30" s="91">
        <f t="shared" si="91"/>
        <v>3.3901693612378501E-3</v>
      </c>
      <c r="CB30" s="92">
        <f t="shared" si="32"/>
        <v>2.5000000000000001E-3</v>
      </c>
      <c r="CC30" s="92">
        <f t="shared" si="33"/>
        <v>0</v>
      </c>
      <c r="CD30" s="92">
        <f t="shared" si="34"/>
        <v>0</v>
      </c>
      <c r="CE30" s="92">
        <f t="shared" si="35"/>
        <v>0</v>
      </c>
      <c r="CF30" s="92">
        <f t="shared" si="36"/>
        <v>0</v>
      </c>
      <c r="CG30" s="92">
        <f t="shared" si="37"/>
        <v>0</v>
      </c>
      <c r="CH30" s="92">
        <f t="shared" si="38"/>
        <v>0</v>
      </c>
      <c r="CI30" s="127">
        <f t="shared" si="92"/>
        <v>5.8901693612378502E-3</v>
      </c>
      <c r="CJ30" s="91">
        <f t="shared" si="93"/>
        <v>2.4215495437413214E-4</v>
      </c>
      <c r="CK30" s="92">
        <f t="shared" si="39"/>
        <v>3.3750000000000002E-2</v>
      </c>
      <c r="CL30" s="92">
        <f t="shared" si="40"/>
        <v>8.1000000000000016E-2</v>
      </c>
      <c r="CM30" s="127">
        <f t="shared" si="94"/>
        <v>0.11499215495437415</v>
      </c>
      <c r="CN30" s="91">
        <f t="shared" si="41"/>
        <v>0.15</v>
      </c>
      <c r="CO30" s="92">
        <f t="shared" si="42"/>
        <v>0</v>
      </c>
      <c r="CP30" s="92">
        <f t="shared" si="43"/>
        <v>0</v>
      </c>
      <c r="CQ30" s="92">
        <f t="shared" si="44"/>
        <v>0</v>
      </c>
      <c r="CR30" s="92">
        <f t="shared" si="45"/>
        <v>0</v>
      </c>
      <c r="CS30" s="92">
        <f t="shared" si="46"/>
        <v>0</v>
      </c>
      <c r="CT30" s="92">
        <f t="shared" si="47"/>
        <v>0</v>
      </c>
      <c r="CU30" s="127">
        <f t="shared" si="48"/>
        <v>0.15</v>
      </c>
      <c r="CV30" s="231">
        <f t="shared" si="49"/>
        <v>3.6149550018399167E-2</v>
      </c>
      <c r="CW30" s="188">
        <f t="shared" si="50"/>
        <v>0.30703187433401113</v>
      </c>
      <c r="CX30" s="206">
        <f t="shared" si="51"/>
        <v>7.8070318743340108</v>
      </c>
      <c r="CY30" s="231">
        <f t="shared" si="52"/>
        <v>0.9606723939038353</v>
      </c>
      <c r="CZ30">
        <f t="shared" si="53"/>
        <v>74.08</v>
      </c>
      <c r="DA30">
        <f t="shared" si="54"/>
        <v>821.20951298897364</v>
      </c>
      <c r="DD30" s="22">
        <v>900</v>
      </c>
      <c r="DE30" s="22">
        <f t="shared" si="95"/>
        <v>5654.8667764616275</v>
      </c>
      <c r="DF30" s="91">
        <f t="shared" si="96"/>
        <v>27.963364754034568</v>
      </c>
      <c r="DG30" s="93">
        <f t="shared" si="97"/>
        <v>-84.397023525196929</v>
      </c>
      <c r="DH30" s="91">
        <f t="shared" si="98"/>
        <v>-21.241728505204392</v>
      </c>
      <c r="DI30" s="92">
        <f t="shared" si="99"/>
        <v>139.3967638002145</v>
      </c>
      <c r="DJ30" s="92">
        <f t="shared" si="55"/>
        <v>-7.2738166605763936</v>
      </c>
      <c r="DK30" s="93">
        <f t="shared" si="100"/>
        <v>161.20760654765931</v>
      </c>
      <c r="DL30" s="91">
        <f t="shared" si="101"/>
        <v>6.7216362488301762</v>
      </c>
      <c r="DM30" s="92">
        <f t="shared" si="102"/>
        <v>54.999740275017572</v>
      </c>
      <c r="DN30" s="92">
        <f t="shared" si="103"/>
        <v>20.689548093458175</v>
      </c>
      <c r="DO30" s="93">
        <f t="shared" si="104"/>
        <v>76.810583022462382</v>
      </c>
    </row>
    <row r="31" spans="1:119" ht="15" x14ac:dyDescent="0.25">
      <c r="A31" t="s">
        <v>272</v>
      </c>
      <c r="B31" s="8">
        <f>MAX(R4:R54)</f>
        <v>1.3180863406047822</v>
      </c>
      <c r="C31" s="12" t="s">
        <v>6</v>
      </c>
      <c r="K31" s="58">
        <v>27</v>
      </c>
      <c r="L31" s="131">
        <f t="shared" si="56"/>
        <v>35.160000000000004</v>
      </c>
      <c r="M31" s="130">
        <f t="shared" si="57"/>
        <v>0.21331058020477814</v>
      </c>
      <c r="N31" s="132">
        <f t="shared" si="0"/>
        <v>0.39383395572847341</v>
      </c>
      <c r="O31" s="52">
        <f t="shared" si="58"/>
        <v>0.27848266075712608</v>
      </c>
      <c r="P31" s="21">
        <f t="shared" si="59"/>
        <v>0.54162567016401175</v>
      </c>
      <c r="Q31" s="19">
        <f t="shared" si="60"/>
        <v>1.0832513403280237</v>
      </c>
      <c r="R31" s="6">
        <f t="shared" si="1"/>
        <v>0.76046302861802384</v>
      </c>
      <c r="S31" s="55">
        <f t="shared" si="61"/>
        <v>0.39248691860406798</v>
      </c>
      <c r="T31" s="133">
        <f t="shared" si="62"/>
        <v>0.329461041168781</v>
      </c>
      <c r="U31" s="54">
        <f t="shared" si="2"/>
        <v>0.34618004708532812</v>
      </c>
      <c r="V31" s="21">
        <f t="shared" si="63"/>
        <v>2.8886702408747298</v>
      </c>
      <c r="W31" s="21">
        <f t="shared" si="64"/>
        <v>0.9812696267038824</v>
      </c>
      <c r="X31" s="63">
        <f t="shared" si="65"/>
        <v>0.84432818281257005</v>
      </c>
      <c r="Y31" s="54">
        <f t="shared" si="3"/>
        <v>0</v>
      </c>
      <c r="Z31" s="21">
        <f t="shared" si="4"/>
        <v>0</v>
      </c>
      <c r="AA31" s="21">
        <f t="shared" si="66"/>
        <v>0</v>
      </c>
      <c r="AB31" s="63">
        <f t="shared" si="67"/>
        <v>0</v>
      </c>
      <c r="AC31" s="52">
        <f t="shared" si="5"/>
        <v>0</v>
      </c>
      <c r="AD31" s="21">
        <f t="shared" si="6"/>
        <v>0</v>
      </c>
      <c r="AE31" s="21">
        <f t="shared" si="68"/>
        <v>0</v>
      </c>
      <c r="AF31" s="63">
        <f t="shared" si="69"/>
        <v>0</v>
      </c>
      <c r="AG31" s="52">
        <f t="shared" si="7"/>
        <v>0</v>
      </c>
      <c r="AH31" s="21">
        <f t="shared" si="8"/>
        <v>0</v>
      </c>
      <c r="AI31" s="21">
        <f t="shared" si="70"/>
        <v>0</v>
      </c>
      <c r="AJ31" s="63">
        <f t="shared" si="71"/>
        <v>0</v>
      </c>
      <c r="AK31" s="52">
        <f t="shared" si="9"/>
        <v>0</v>
      </c>
      <c r="AL31" s="21">
        <f t="shared" si="10"/>
        <v>0</v>
      </c>
      <c r="AM31" s="21">
        <f t="shared" si="72"/>
        <v>0</v>
      </c>
      <c r="AN31" s="63">
        <f t="shared" si="73"/>
        <v>0</v>
      </c>
      <c r="AO31" s="52">
        <f t="shared" si="74"/>
        <v>0</v>
      </c>
      <c r="AP31" s="21">
        <f t="shared" si="11"/>
        <v>0</v>
      </c>
      <c r="AQ31" s="21">
        <f t="shared" si="75"/>
        <v>0</v>
      </c>
      <c r="AR31" s="181">
        <f t="shared" si="76"/>
        <v>0</v>
      </c>
      <c r="AS31" s="52">
        <f t="shared" si="12"/>
        <v>0</v>
      </c>
      <c r="AT31" s="21">
        <f t="shared" si="13"/>
        <v>0</v>
      </c>
      <c r="AU31" s="21">
        <f t="shared" si="14"/>
        <v>0</v>
      </c>
      <c r="AV31" s="63">
        <f t="shared" si="15"/>
        <v>0</v>
      </c>
      <c r="AW31" s="182">
        <f t="shared" si="77"/>
        <v>0.38852979470856125</v>
      </c>
      <c r="AX31" s="52">
        <f t="shared" si="78"/>
        <v>0</v>
      </c>
      <c r="AY31" s="74">
        <f t="shared" si="79"/>
        <v>0</v>
      </c>
      <c r="AZ31" s="78">
        <f t="shared" si="80"/>
        <v>0</v>
      </c>
      <c r="BA31" s="87">
        <f t="shared" si="81"/>
        <v>0</v>
      </c>
      <c r="BB31" s="110">
        <f t="shared" si="82"/>
        <v>17871.758454157614</v>
      </c>
      <c r="BC31" s="69">
        <f t="shared" si="83"/>
        <v>13.403818840618211</v>
      </c>
      <c r="BD31" s="42">
        <f t="shared" si="84"/>
        <v>12928.9236132437</v>
      </c>
      <c r="BE31" s="79">
        <f t="shared" si="85"/>
        <v>9.6966927099327744</v>
      </c>
      <c r="BF31" s="117" t="e">
        <f t="shared" si="16"/>
        <v>#NUM!</v>
      </c>
      <c r="BG31" s="118" t="e">
        <f t="shared" si="17"/>
        <v>#NUM!</v>
      </c>
      <c r="BH31" s="117">
        <f t="shared" si="18"/>
        <v>3.9418515684774288E-4</v>
      </c>
      <c r="BI31" s="118">
        <f t="shared" si="19"/>
        <v>1.0542290881294061E-2</v>
      </c>
      <c r="BJ31" s="117">
        <f t="shared" si="20"/>
        <v>0</v>
      </c>
      <c r="BK31" s="118">
        <f t="shared" si="21"/>
        <v>0</v>
      </c>
      <c r="BL31" s="91">
        <f t="shared" si="22"/>
        <v>0</v>
      </c>
      <c r="BM31" s="93">
        <f t="shared" si="23"/>
        <v>0</v>
      </c>
      <c r="BN31" s="91">
        <f t="shared" si="24"/>
        <v>0</v>
      </c>
      <c r="BO31" s="93">
        <f t="shared" si="25"/>
        <v>0</v>
      </c>
      <c r="BP31" s="91">
        <f t="shared" si="26"/>
        <v>0</v>
      </c>
      <c r="BQ31" s="93">
        <f t="shared" si="27"/>
        <v>0</v>
      </c>
      <c r="BR31" s="91">
        <f t="shared" si="28"/>
        <v>0</v>
      </c>
      <c r="BS31" s="93">
        <f t="shared" si="29"/>
        <v>0</v>
      </c>
      <c r="BT31" s="188">
        <f t="shared" si="30"/>
        <v>0</v>
      </c>
      <c r="BU31" s="93">
        <f t="shared" si="31"/>
        <v>0</v>
      </c>
      <c r="BV31" s="117" t="e">
        <f t="shared" si="86"/>
        <v>#NUM!</v>
      </c>
      <c r="BW31" s="206" t="e">
        <f t="shared" si="87"/>
        <v>#NUM!</v>
      </c>
      <c r="BX31" s="206" t="e">
        <f t="shared" si="88"/>
        <v>#NUM!</v>
      </c>
      <c r="BY31" s="97" t="e">
        <f t="shared" si="89"/>
        <v>#NUM!</v>
      </c>
      <c r="BZ31" s="123" t="e">
        <f t="shared" si="90"/>
        <v>#NUM!</v>
      </c>
      <c r="CA31" s="91">
        <f t="shared" si="91"/>
        <v>3.1850982539109365E-3</v>
      </c>
      <c r="CB31" s="92">
        <f t="shared" si="32"/>
        <v>2.5000000000000001E-3</v>
      </c>
      <c r="CC31" s="92">
        <f t="shared" si="33"/>
        <v>0</v>
      </c>
      <c r="CD31" s="92">
        <f t="shared" si="34"/>
        <v>0</v>
      </c>
      <c r="CE31" s="92">
        <f t="shared" si="35"/>
        <v>0</v>
      </c>
      <c r="CF31" s="92">
        <f t="shared" si="36"/>
        <v>0</v>
      </c>
      <c r="CG31" s="92">
        <f t="shared" si="37"/>
        <v>0</v>
      </c>
      <c r="CH31" s="92">
        <f t="shared" si="38"/>
        <v>0</v>
      </c>
      <c r="CI31" s="127">
        <f t="shared" si="92"/>
        <v>5.685098253910937E-3</v>
      </c>
      <c r="CJ31" s="91">
        <f t="shared" si="93"/>
        <v>2.2750701813649545E-4</v>
      </c>
      <c r="CK31" s="92">
        <f t="shared" si="39"/>
        <v>3.3750000000000002E-2</v>
      </c>
      <c r="CL31" s="92">
        <f t="shared" si="40"/>
        <v>8.1000000000000016E-2</v>
      </c>
      <c r="CM31" s="127">
        <f t="shared" si="94"/>
        <v>0.11497750701813651</v>
      </c>
      <c r="CN31" s="91">
        <f t="shared" si="41"/>
        <v>0.15</v>
      </c>
      <c r="CO31" s="92">
        <f t="shared" si="42"/>
        <v>0</v>
      </c>
      <c r="CP31" s="92">
        <f t="shared" si="43"/>
        <v>0</v>
      </c>
      <c r="CQ31" s="92">
        <f t="shared" si="44"/>
        <v>0</v>
      </c>
      <c r="CR31" s="92">
        <f t="shared" si="45"/>
        <v>0</v>
      </c>
      <c r="CS31" s="92">
        <f t="shared" si="46"/>
        <v>0</v>
      </c>
      <c r="CT31" s="92">
        <f t="shared" si="47"/>
        <v>0</v>
      </c>
      <c r="CU31" s="127">
        <f t="shared" si="48"/>
        <v>0.15</v>
      </c>
      <c r="CV31" s="231">
        <f t="shared" si="49"/>
        <v>3.5923584365120574E-2</v>
      </c>
      <c r="CW31" s="188">
        <f t="shared" si="50"/>
        <v>0.30658618963716799</v>
      </c>
      <c r="CX31" s="206">
        <f t="shared" si="51"/>
        <v>7.8065861896371675</v>
      </c>
      <c r="CY31" s="231">
        <f t="shared" si="52"/>
        <v>0.96072723951422656</v>
      </c>
      <c r="CZ31">
        <f t="shared" si="53"/>
        <v>75.16</v>
      </c>
      <c r="DA31">
        <f t="shared" si="54"/>
        <v>822.28951298897357</v>
      </c>
      <c r="DD31" s="22">
        <v>1000</v>
      </c>
      <c r="DE31" s="22">
        <f t="shared" si="95"/>
        <v>6283.1853071795858</v>
      </c>
      <c r="DF31" s="91">
        <f t="shared" si="96"/>
        <v>27.055006017088907</v>
      </c>
      <c r="DG31" s="93">
        <f t="shared" si="97"/>
        <v>-84.86599061793649</v>
      </c>
      <c r="DH31" s="91">
        <f t="shared" si="98"/>
        <v>-21.54853323853699</v>
      </c>
      <c r="DI31" s="92">
        <f t="shared" si="99"/>
        <v>141.77287876691798</v>
      </c>
      <c r="DJ31" s="92">
        <f t="shared" si="55"/>
        <v>-7.3362145669979295</v>
      </c>
      <c r="DK31" s="93">
        <f t="shared" si="100"/>
        <v>162.3178058687003</v>
      </c>
      <c r="DL31" s="91">
        <f t="shared" si="101"/>
        <v>5.5064727785519167</v>
      </c>
      <c r="DM31" s="92">
        <f t="shared" si="102"/>
        <v>56.906888148981494</v>
      </c>
      <c r="DN31" s="92">
        <f t="shared" si="103"/>
        <v>19.718791450090976</v>
      </c>
      <c r="DO31" s="93">
        <f t="shared" si="104"/>
        <v>77.451815250763815</v>
      </c>
    </row>
    <row r="32" spans="1:119" ht="15" x14ac:dyDescent="0.25">
      <c r="A32" t="s">
        <v>291</v>
      </c>
      <c r="B32" s="8" t="e">
        <f>VLOOKUP(ILrms_Total_Max_FB_DCM,R4:AV54,3,FALSE)</f>
        <v>#NUM!</v>
      </c>
      <c r="C32" s="12" t="s">
        <v>6</v>
      </c>
      <c r="K32" s="58">
        <v>28</v>
      </c>
      <c r="L32" s="131">
        <f t="shared" si="56"/>
        <v>36.24</v>
      </c>
      <c r="M32" s="130">
        <f t="shared" si="57"/>
        <v>0.20695364238410596</v>
      </c>
      <c r="N32" s="132">
        <f t="shared" si="0"/>
        <v>0.38209718221338645</v>
      </c>
      <c r="O32" s="52">
        <f t="shared" si="58"/>
        <v>0.27018350861535745</v>
      </c>
      <c r="P32" s="21">
        <f t="shared" si="59"/>
        <v>0.54162567016401175</v>
      </c>
      <c r="Q32" s="19">
        <f t="shared" si="60"/>
        <v>1.0832513403280237</v>
      </c>
      <c r="R32" s="6">
        <f t="shared" si="1"/>
        <v>0.75457048012156569</v>
      </c>
      <c r="S32" s="55">
        <f t="shared" si="61"/>
        <v>0.38659437010760977</v>
      </c>
      <c r="T32" s="133">
        <f t="shared" si="62"/>
        <v>0.32653544509417526</v>
      </c>
      <c r="U32" s="54">
        <f t="shared" si="2"/>
        <v>0.34618004708532812</v>
      </c>
      <c r="V32" s="21">
        <f t="shared" si="63"/>
        <v>2.8886702408747298</v>
      </c>
      <c r="W32" s="21">
        <f t="shared" si="64"/>
        <v>0.9812696267038824</v>
      </c>
      <c r="X32" s="63">
        <f t="shared" si="65"/>
        <v>0.84432818281257005</v>
      </c>
      <c r="Y32" s="54">
        <f t="shared" si="3"/>
        <v>0</v>
      </c>
      <c r="Z32" s="21">
        <f t="shared" si="4"/>
        <v>0</v>
      </c>
      <c r="AA32" s="21">
        <f t="shared" si="66"/>
        <v>0</v>
      </c>
      <c r="AB32" s="63">
        <f t="shared" si="67"/>
        <v>0</v>
      </c>
      <c r="AC32" s="52">
        <f t="shared" si="5"/>
        <v>0</v>
      </c>
      <c r="AD32" s="21">
        <f t="shared" si="6"/>
        <v>0</v>
      </c>
      <c r="AE32" s="21">
        <f t="shared" si="68"/>
        <v>0</v>
      </c>
      <c r="AF32" s="63">
        <f t="shared" si="69"/>
        <v>0</v>
      </c>
      <c r="AG32" s="52">
        <f t="shared" si="7"/>
        <v>0</v>
      </c>
      <c r="AH32" s="21">
        <f t="shared" si="8"/>
        <v>0</v>
      </c>
      <c r="AI32" s="21">
        <f t="shared" si="70"/>
        <v>0</v>
      </c>
      <c r="AJ32" s="63">
        <f t="shared" si="71"/>
        <v>0</v>
      </c>
      <c r="AK32" s="52">
        <f t="shared" si="9"/>
        <v>0</v>
      </c>
      <c r="AL32" s="21">
        <f t="shared" si="10"/>
        <v>0</v>
      </c>
      <c r="AM32" s="21">
        <f t="shared" si="72"/>
        <v>0</v>
      </c>
      <c r="AN32" s="63">
        <f t="shared" si="73"/>
        <v>0</v>
      </c>
      <c r="AO32" s="52">
        <f t="shared" si="74"/>
        <v>0</v>
      </c>
      <c r="AP32" s="21">
        <f t="shared" si="11"/>
        <v>0</v>
      </c>
      <c r="AQ32" s="21">
        <f t="shared" si="75"/>
        <v>0</v>
      </c>
      <c r="AR32" s="181">
        <f t="shared" si="76"/>
        <v>0</v>
      </c>
      <c r="AS32" s="52">
        <f t="shared" si="12"/>
        <v>0</v>
      </c>
      <c r="AT32" s="21">
        <f t="shared" si="13"/>
        <v>0</v>
      </c>
      <c r="AU32" s="21">
        <f t="shared" si="14"/>
        <v>0</v>
      </c>
      <c r="AV32" s="63">
        <f t="shared" si="15"/>
        <v>0</v>
      </c>
      <c r="AW32" s="182">
        <f t="shared" si="77"/>
        <v>0.38852979470856125</v>
      </c>
      <c r="AX32" s="52">
        <f t="shared" si="78"/>
        <v>0</v>
      </c>
      <c r="AY32" s="74">
        <f t="shared" si="79"/>
        <v>0</v>
      </c>
      <c r="AZ32" s="78">
        <f t="shared" si="80"/>
        <v>0</v>
      </c>
      <c r="BA32" s="87">
        <f t="shared" si="81"/>
        <v>0</v>
      </c>
      <c r="BB32" s="110">
        <f t="shared" si="82"/>
        <v>17871.758454157614</v>
      </c>
      <c r="BC32" s="69">
        <f t="shared" si="83"/>
        <v>13.403818840618211</v>
      </c>
      <c r="BD32" s="42">
        <f t="shared" si="84"/>
        <v>12928.9236132437</v>
      </c>
      <c r="BE32" s="79">
        <f t="shared" si="85"/>
        <v>9.6966927099327744</v>
      </c>
      <c r="BF32" s="117" t="e">
        <f t="shared" si="16"/>
        <v>#NUM!</v>
      </c>
      <c r="BG32" s="118" t="e">
        <f t="shared" si="17"/>
        <v>#NUM!</v>
      </c>
      <c r="BH32" s="117">
        <f t="shared" si="18"/>
        <v>3.9418515684774288E-4</v>
      </c>
      <c r="BI32" s="118">
        <f t="shared" si="19"/>
        <v>1.0542290881294061E-2</v>
      </c>
      <c r="BJ32" s="117">
        <f t="shared" si="20"/>
        <v>0</v>
      </c>
      <c r="BK32" s="118">
        <f t="shared" si="21"/>
        <v>0</v>
      </c>
      <c r="BL32" s="91">
        <f t="shared" si="22"/>
        <v>0</v>
      </c>
      <c r="BM32" s="93">
        <f t="shared" si="23"/>
        <v>0</v>
      </c>
      <c r="BN32" s="91">
        <f t="shared" si="24"/>
        <v>0</v>
      </c>
      <c r="BO32" s="93">
        <f t="shared" si="25"/>
        <v>0</v>
      </c>
      <c r="BP32" s="91">
        <f t="shared" si="26"/>
        <v>0</v>
      </c>
      <c r="BQ32" s="93">
        <f t="shared" si="27"/>
        <v>0</v>
      </c>
      <c r="BR32" s="91">
        <f t="shared" si="28"/>
        <v>0</v>
      </c>
      <c r="BS32" s="93">
        <f t="shared" si="29"/>
        <v>0</v>
      </c>
      <c r="BT32" s="188">
        <f t="shared" si="30"/>
        <v>0</v>
      </c>
      <c r="BU32" s="93">
        <f t="shared" si="31"/>
        <v>0</v>
      </c>
      <c r="BV32" s="117" t="e">
        <f t="shared" si="86"/>
        <v>#NUM!</v>
      </c>
      <c r="BW32" s="206" t="e">
        <f t="shared" si="87"/>
        <v>#NUM!</v>
      </c>
      <c r="BX32" s="206" t="e">
        <f t="shared" si="88"/>
        <v>#NUM!</v>
      </c>
      <c r="BY32" s="97" t="e">
        <f t="shared" si="89"/>
        <v>#NUM!</v>
      </c>
      <c r="BZ32" s="123" t="e">
        <f t="shared" si="90"/>
        <v>#NUM!</v>
      </c>
      <c r="CA32" s="91">
        <f t="shared" si="91"/>
        <v>2.9980867067233899E-3</v>
      </c>
      <c r="CB32" s="92">
        <f t="shared" si="32"/>
        <v>2.5000000000000001E-3</v>
      </c>
      <c r="CC32" s="92">
        <f t="shared" si="33"/>
        <v>0</v>
      </c>
      <c r="CD32" s="92">
        <f t="shared" si="34"/>
        <v>0</v>
      </c>
      <c r="CE32" s="92">
        <f t="shared" si="35"/>
        <v>0</v>
      </c>
      <c r="CF32" s="92">
        <f t="shared" si="36"/>
        <v>0</v>
      </c>
      <c r="CG32" s="92">
        <f t="shared" si="37"/>
        <v>0</v>
      </c>
      <c r="CH32" s="92">
        <f t="shared" si="38"/>
        <v>0</v>
      </c>
      <c r="CI32" s="127">
        <f t="shared" si="92"/>
        <v>5.49808670672339E-3</v>
      </c>
      <c r="CJ32" s="91">
        <f t="shared" si="93"/>
        <v>2.1414905048024212E-4</v>
      </c>
      <c r="CK32" s="92">
        <f t="shared" si="39"/>
        <v>3.3750000000000009E-2</v>
      </c>
      <c r="CL32" s="92">
        <f t="shared" si="40"/>
        <v>8.1000000000000016E-2</v>
      </c>
      <c r="CM32" s="127">
        <f t="shared" si="94"/>
        <v>0.11496414905048027</v>
      </c>
      <c r="CN32" s="91">
        <f t="shared" si="41"/>
        <v>0.15</v>
      </c>
      <c r="CO32" s="92">
        <f t="shared" si="42"/>
        <v>0</v>
      </c>
      <c r="CP32" s="92">
        <f t="shared" si="43"/>
        <v>0</v>
      </c>
      <c r="CQ32" s="92">
        <f t="shared" si="44"/>
        <v>0</v>
      </c>
      <c r="CR32" s="92">
        <f t="shared" si="45"/>
        <v>0</v>
      </c>
      <c r="CS32" s="92">
        <f t="shared" si="46"/>
        <v>0</v>
      </c>
      <c r="CT32" s="92">
        <f t="shared" si="47"/>
        <v>0</v>
      </c>
      <c r="CU32" s="127">
        <f t="shared" si="48"/>
        <v>0.15</v>
      </c>
      <c r="CV32" s="231">
        <f t="shared" si="49"/>
        <v>3.569291472368584E-2</v>
      </c>
      <c r="CW32" s="188">
        <f t="shared" si="50"/>
        <v>0.30615515048088948</v>
      </c>
      <c r="CX32" s="206">
        <f t="shared" si="51"/>
        <v>7.8061551504808895</v>
      </c>
      <c r="CY32" s="231">
        <f t="shared" si="52"/>
        <v>0.96078028881324129</v>
      </c>
      <c r="CZ32">
        <f t="shared" si="53"/>
        <v>76.240000000000009</v>
      </c>
      <c r="DA32">
        <f t="shared" si="54"/>
        <v>823.36951298897361</v>
      </c>
      <c r="DD32" s="22">
        <v>2000</v>
      </c>
      <c r="DE32" s="22">
        <f t="shared" si="95"/>
        <v>12566.370614359172</v>
      </c>
      <c r="DF32" s="91">
        <f t="shared" si="96"/>
        <v>21.056883150823079</v>
      </c>
      <c r="DG32" s="93">
        <f t="shared" si="97"/>
        <v>-86.727198774835969</v>
      </c>
      <c r="DH32" s="91">
        <f t="shared" si="98"/>
        <v>-22.766184211295652</v>
      </c>
      <c r="DI32" s="92">
        <f t="shared" si="99"/>
        <v>152.44444565095247</v>
      </c>
      <c r="DJ32" s="92">
        <f t="shared" si="55"/>
        <v>-7.5846011813785994</v>
      </c>
      <c r="DK32" s="93">
        <f t="shared" si="100"/>
        <v>165.50890999266119</v>
      </c>
      <c r="DL32" s="91">
        <f t="shared" si="101"/>
        <v>-1.7093010604725727</v>
      </c>
      <c r="DM32" s="92">
        <f t="shared" si="102"/>
        <v>65.717246876116505</v>
      </c>
      <c r="DN32" s="92">
        <f t="shared" si="103"/>
        <v>13.472281969444481</v>
      </c>
      <c r="DO32" s="93">
        <f t="shared" si="104"/>
        <v>78.781711217825219</v>
      </c>
    </row>
    <row r="33" spans="1:119" ht="15" x14ac:dyDescent="0.25">
      <c r="A33" t="s">
        <v>292</v>
      </c>
      <c r="B33" s="8">
        <f>VLOOKUP(ILrms_Total_Max_FB_DCM,R4:AV54,6,FALSE)</f>
        <v>0.9812696267038824</v>
      </c>
      <c r="C33" s="12" t="s">
        <v>6</v>
      </c>
      <c r="K33" s="58">
        <v>29</v>
      </c>
      <c r="L33" s="131">
        <f t="shared" si="56"/>
        <v>37.32</v>
      </c>
      <c r="M33" s="130">
        <f t="shared" si="57"/>
        <v>0.2009646302250804</v>
      </c>
      <c r="N33" s="132">
        <f t="shared" si="0"/>
        <v>0.37103970748695408</v>
      </c>
      <c r="O33" s="52">
        <f t="shared" si="58"/>
        <v>0.2623646932534982</v>
      </c>
      <c r="P33" s="21">
        <f t="shared" si="59"/>
        <v>0.54162567016401175</v>
      </c>
      <c r="Q33" s="19">
        <f t="shared" si="60"/>
        <v>1.0832513403280237</v>
      </c>
      <c r="R33" s="6">
        <f t="shared" si="1"/>
        <v>0.7489356048423379</v>
      </c>
      <c r="S33" s="55">
        <f t="shared" si="61"/>
        <v>0.38095949482838198</v>
      </c>
      <c r="T33" s="133">
        <f t="shared" si="62"/>
        <v>0.32364077941197816</v>
      </c>
      <c r="U33" s="54">
        <f t="shared" si="2"/>
        <v>0.34618004708532812</v>
      </c>
      <c r="V33" s="21">
        <f t="shared" si="63"/>
        <v>2.8886702408747298</v>
      </c>
      <c r="W33" s="21">
        <f t="shared" si="64"/>
        <v>0.9812696267038824</v>
      </c>
      <c r="X33" s="63">
        <f t="shared" si="65"/>
        <v>0.84432818281257005</v>
      </c>
      <c r="Y33" s="54">
        <f t="shared" si="3"/>
        <v>0</v>
      </c>
      <c r="Z33" s="21">
        <f t="shared" si="4"/>
        <v>0</v>
      </c>
      <c r="AA33" s="21">
        <f t="shared" si="66"/>
        <v>0</v>
      </c>
      <c r="AB33" s="63">
        <f t="shared" si="67"/>
        <v>0</v>
      </c>
      <c r="AC33" s="52">
        <f t="shared" si="5"/>
        <v>0</v>
      </c>
      <c r="AD33" s="21">
        <f t="shared" si="6"/>
        <v>0</v>
      </c>
      <c r="AE33" s="21">
        <f t="shared" si="68"/>
        <v>0</v>
      </c>
      <c r="AF33" s="63">
        <f t="shared" si="69"/>
        <v>0</v>
      </c>
      <c r="AG33" s="52">
        <f t="shared" si="7"/>
        <v>0</v>
      </c>
      <c r="AH33" s="21">
        <f t="shared" si="8"/>
        <v>0</v>
      </c>
      <c r="AI33" s="21">
        <f t="shared" si="70"/>
        <v>0</v>
      </c>
      <c r="AJ33" s="63">
        <f t="shared" si="71"/>
        <v>0</v>
      </c>
      <c r="AK33" s="52">
        <f t="shared" si="9"/>
        <v>0</v>
      </c>
      <c r="AL33" s="21">
        <f t="shared" si="10"/>
        <v>0</v>
      </c>
      <c r="AM33" s="21">
        <f t="shared" si="72"/>
        <v>0</v>
      </c>
      <c r="AN33" s="63">
        <f t="shared" si="73"/>
        <v>0</v>
      </c>
      <c r="AO33" s="52">
        <f t="shared" si="74"/>
        <v>0</v>
      </c>
      <c r="AP33" s="21">
        <f t="shared" si="11"/>
        <v>0</v>
      </c>
      <c r="AQ33" s="21">
        <f t="shared" si="75"/>
        <v>0</v>
      </c>
      <c r="AR33" s="181">
        <f t="shared" si="76"/>
        <v>0</v>
      </c>
      <c r="AS33" s="52">
        <f t="shared" si="12"/>
        <v>0</v>
      </c>
      <c r="AT33" s="21">
        <f t="shared" si="13"/>
        <v>0</v>
      </c>
      <c r="AU33" s="21">
        <f t="shared" si="14"/>
        <v>0</v>
      </c>
      <c r="AV33" s="63">
        <f t="shared" si="15"/>
        <v>0</v>
      </c>
      <c r="AW33" s="182">
        <f t="shared" si="77"/>
        <v>0.38852979470856125</v>
      </c>
      <c r="AX33" s="52">
        <f t="shared" si="78"/>
        <v>0</v>
      </c>
      <c r="AY33" s="74">
        <f t="shared" si="79"/>
        <v>0</v>
      </c>
      <c r="AZ33" s="78">
        <f t="shared" si="80"/>
        <v>0</v>
      </c>
      <c r="BA33" s="87">
        <f t="shared" si="81"/>
        <v>0</v>
      </c>
      <c r="BB33" s="110">
        <f t="shared" si="82"/>
        <v>17871.758454157614</v>
      </c>
      <c r="BC33" s="69">
        <f t="shared" si="83"/>
        <v>13.403818840618211</v>
      </c>
      <c r="BD33" s="42">
        <f t="shared" si="84"/>
        <v>12928.9236132437</v>
      </c>
      <c r="BE33" s="79">
        <f t="shared" si="85"/>
        <v>9.6966927099327744</v>
      </c>
      <c r="BF33" s="117" t="e">
        <f t="shared" si="16"/>
        <v>#NUM!</v>
      </c>
      <c r="BG33" s="118" t="e">
        <f t="shared" si="17"/>
        <v>#NUM!</v>
      </c>
      <c r="BH33" s="117">
        <f t="shared" si="18"/>
        <v>3.9418515684774288E-4</v>
      </c>
      <c r="BI33" s="118">
        <f t="shared" si="19"/>
        <v>1.0542290881294061E-2</v>
      </c>
      <c r="BJ33" s="117">
        <f t="shared" si="20"/>
        <v>0</v>
      </c>
      <c r="BK33" s="118">
        <f t="shared" si="21"/>
        <v>0</v>
      </c>
      <c r="BL33" s="91">
        <f t="shared" si="22"/>
        <v>0</v>
      </c>
      <c r="BM33" s="93">
        <f t="shared" si="23"/>
        <v>0</v>
      </c>
      <c r="BN33" s="91">
        <f t="shared" si="24"/>
        <v>0</v>
      </c>
      <c r="BO33" s="93">
        <f t="shared" si="25"/>
        <v>0</v>
      </c>
      <c r="BP33" s="91">
        <f t="shared" si="26"/>
        <v>0</v>
      </c>
      <c r="BQ33" s="93">
        <f t="shared" si="27"/>
        <v>0</v>
      </c>
      <c r="BR33" s="91">
        <f t="shared" si="28"/>
        <v>0</v>
      </c>
      <c r="BS33" s="93">
        <f t="shared" si="29"/>
        <v>0</v>
      </c>
      <c r="BT33" s="188">
        <f t="shared" si="30"/>
        <v>0</v>
      </c>
      <c r="BU33" s="93">
        <f t="shared" si="31"/>
        <v>0</v>
      </c>
      <c r="BV33" s="117" t="e">
        <f t="shared" si="86"/>
        <v>#NUM!</v>
      </c>
      <c r="BW33" s="206" t="e">
        <f t="shared" si="87"/>
        <v>#NUM!</v>
      </c>
      <c r="BX33" s="206" t="e">
        <f t="shared" si="88"/>
        <v>#NUM!</v>
      </c>
      <c r="BY33" s="97" t="e">
        <f t="shared" si="89"/>
        <v>#NUM!</v>
      </c>
      <c r="BZ33" s="123" t="e">
        <f t="shared" si="90"/>
        <v>#NUM!</v>
      </c>
      <c r="CA33" s="91">
        <f t="shared" si="91"/>
        <v>2.8270747821052314E-3</v>
      </c>
      <c r="CB33" s="92">
        <f t="shared" si="32"/>
        <v>2.5000000000000001E-3</v>
      </c>
      <c r="CC33" s="92">
        <f t="shared" si="33"/>
        <v>0</v>
      </c>
      <c r="CD33" s="92">
        <f t="shared" si="34"/>
        <v>0</v>
      </c>
      <c r="CE33" s="92">
        <f t="shared" si="35"/>
        <v>0</v>
      </c>
      <c r="CF33" s="92">
        <f t="shared" si="36"/>
        <v>0</v>
      </c>
      <c r="CG33" s="92">
        <f t="shared" si="37"/>
        <v>0</v>
      </c>
      <c r="CH33" s="92">
        <f t="shared" si="38"/>
        <v>0</v>
      </c>
      <c r="CI33" s="127">
        <f t="shared" si="92"/>
        <v>5.3270747821052315E-3</v>
      </c>
      <c r="CJ33" s="91">
        <f t="shared" si="93"/>
        <v>2.0193391300751652E-4</v>
      </c>
      <c r="CK33" s="92">
        <f t="shared" si="39"/>
        <v>3.3750000000000009E-2</v>
      </c>
      <c r="CL33" s="92">
        <f t="shared" si="40"/>
        <v>8.1000000000000016E-2</v>
      </c>
      <c r="CM33" s="127">
        <f t="shared" si="94"/>
        <v>0.11495193391300754</v>
      </c>
      <c r="CN33" s="91">
        <f t="shared" si="41"/>
        <v>0.15</v>
      </c>
      <c r="CO33" s="92">
        <f t="shared" si="42"/>
        <v>0</v>
      </c>
      <c r="CP33" s="92">
        <f t="shared" si="43"/>
        <v>0</v>
      </c>
      <c r="CQ33" s="92">
        <f t="shared" si="44"/>
        <v>0</v>
      </c>
      <c r="CR33" s="92">
        <f t="shared" si="45"/>
        <v>0</v>
      </c>
      <c r="CS33" s="92">
        <f t="shared" si="46"/>
        <v>0</v>
      </c>
      <c r="CT33" s="92">
        <f t="shared" si="47"/>
        <v>0</v>
      </c>
      <c r="CU33" s="127">
        <f t="shared" si="48"/>
        <v>0.15</v>
      </c>
      <c r="CV33" s="231">
        <f t="shared" si="49"/>
        <v>3.5457392662836422E-2</v>
      </c>
      <c r="CW33" s="188">
        <f t="shared" si="50"/>
        <v>0.30573640135794922</v>
      </c>
      <c r="CX33" s="206">
        <f t="shared" si="51"/>
        <v>7.8057364013579491</v>
      </c>
      <c r="CY33" s="231">
        <f t="shared" si="52"/>
        <v>0.96083183115115689</v>
      </c>
      <c r="CZ33">
        <f t="shared" si="53"/>
        <v>77.319999999999993</v>
      </c>
      <c r="DA33">
        <f t="shared" si="54"/>
        <v>824.44951298897365</v>
      </c>
      <c r="DD33" s="22">
        <v>3000</v>
      </c>
      <c r="DE33" s="22">
        <f t="shared" si="95"/>
        <v>18849.555921538758</v>
      </c>
      <c r="DF33" s="91">
        <f t="shared" si="96"/>
        <v>17.540519408871585</v>
      </c>
      <c r="DG33" s="93">
        <f t="shared" si="97"/>
        <v>-87.037877892496084</v>
      </c>
      <c r="DH33" s="91">
        <f t="shared" si="98"/>
        <v>-23.148832372206964</v>
      </c>
      <c r="DI33" s="92">
        <f t="shared" si="99"/>
        <v>153.89332515873008</v>
      </c>
      <c r="DJ33" s="92">
        <f t="shared" si="55"/>
        <v>-7.7107019596727033</v>
      </c>
      <c r="DK33" s="93">
        <f t="shared" si="100"/>
        <v>164.23247057605644</v>
      </c>
      <c r="DL33" s="91">
        <f t="shared" si="101"/>
        <v>-5.6083129633353792</v>
      </c>
      <c r="DM33" s="92">
        <f t="shared" si="102"/>
        <v>66.855447266233995</v>
      </c>
      <c r="DN33" s="92">
        <f t="shared" si="103"/>
        <v>9.829817449198881</v>
      </c>
      <c r="DO33" s="93">
        <f t="shared" si="104"/>
        <v>77.194592683560359</v>
      </c>
    </row>
    <row r="34" spans="1:119" ht="15" x14ac:dyDescent="0.25">
      <c r="A34" t="s">
        <v>293</v>
      </c>
      <c r="B34" s="8">
        <f>VLOOKUP(ILrms_Total_Max_FB_DCM,R4:AV54,10,FALSE)</f>
        <v>0</v>
      </c>
      <c r="C34" s="12" t="s">
        <v>6</v>
      </c>
      <c r="K34" s="58">
        <v>30</v>
      </c>
      <c r="L34" s="131">
        <f t="shared" si="56"/>
        <v>38.400000000000006</v>
      </c>
      <c r="M34" s="130">
        <f t="shared" si="57"/>
        <v>0.1953125</v>
      </c>
      <c r="N34" s="132">
        <f t="shared" si="0"/>
        <v>0.3606042157138834</v>
      </c>
      <c r="O34" s="52">
        <f t="shared" si="58"/>
        <v>0.25498568625574353</v>
      </c>
      <c r="P34" s="21">
        <f t="shared" si="59"/>
        <v>0.54162567016401186</v>
      </c>
      <c r="Q34" s="19">
        <f t="shared" si="60"/>
        <v>1.0832513403280235</v>
      </c>
      <c r="R34" s="6">
        <f t="shared" si="1"/>
        <v>0.74354015462580558</v>
      </c>
      <c r="S34" s="55">
        <f t="shared" si="61"/>
        <v>0.37556404461184961</v>
      </c>
      <c r="T34" s="133">
        <f t="shared" si="62"/>
        <v>0.32078244800637296</v>
      </c>
      <c r="U34" s="54">
        <f t="shared" si="2"/>
        <v>0.34618004708532812</v>
      </c>
      <c r="V34" s="21">
        <f t="shared" si="63"/>
        <v>2.8886702408747298</v>
      </c>
      <c r="W34" s="21">
        <f t="shared" si="64"/>
        <v>0.9812696267038824</v>
      </c>
      <c r="X34" s="63">
        <f t="shared" si="65"/>
        <v>0.84432818281257005</v>
      </c>
      <c r="Y34" s="54">
        <f t="shared" si="3"/>
        <v>0</v>
      </c>
      <c r="Z34" s="21">
        <f t="shared" si="4"/>
        <v>0</v>
      </c>
      <c r="AA34" s="21">
        <f t="shared" si="66"/>
        <v>0</v>
      </c>
      <c r="AB34" s="63">
        <f t="shared" si="67"/>
        <v>0</v>
      </c>
      <c r="AC34" s="52">
        <f t="shared" si="5"/>
        <v>0</v>
      </c>
      <c r="AD34" s="21">
        <f t="shared" si="6"/>
        <v>0</v>
      </c>
      <c r="AE34" s="21">
        <f t="shared" si="68"/>
        <v>0</v>
      </c>
      <c r="AF34" s="63">
        <f t="shared" si="69"/>
        <v>0</v>
      </c>
      <c r="AG34" s="52">
        <f t="shared" si="7"/>
        <v>0</v>
      </c>
      <c r="AH34" s="21">
        <f t="shared" si="8"/>
        <v>0</v>
      </c>
      <c r="AI34" s="21">
        <f t="shared" si="70"/>
        <v>0</v>
      </c>
      <c r="AJ34" s="63">
        <f t="shared" si="71"/>
        <v>0</v>
      </c>
      <c r="AK34" s="52">
        <f t="shared" si="9"/>
        <v>0</v>
      </c>
      <c r="AL34" s="21">
        <f t="shared" si="10"/>
        <v>0</v>
      </c>
      <c r="AM34" s="21">
        <f t="shared" si="72"/>
        <v>0</v>
      </c>
      <c r="AN34" s="63">
        <f t="shared" si="73"/>
        <v>0</v>
      </c>
      <c r="AO34" s="52">
        <f t="shared" si="74"/>
        <v>0</v>
      </c>
      <c r="AP34" s="21">
        <f t="shared" si="11"/>
        <v>0</v>
      </c>
      <c r="AQ34" s="21">
        <f t="shared" si="75"/>
        <v>0</v>
      </c>
      <c r="AR34" s="181">
        <f t="shared" si="76"/>
        <v>0</v>
      </c>
      <c r="AS34" s="52">
        <f t="shared" si="12"/>
        <v>0</v>
      </c>
      <c r="AT34" s="21">
        <f t="shared" si="13"/>
        <v>0</v>
      </c>
      <c r="AU34" s="21">
        <f t="shared" si="14"/>
        <v>0</v>
      </c>
      <c r="AV34" s="63">
        <f t="shared" si="15"/>
        <v>0</v>
      </c>
      <c r="AW34" s="182">
        <f t="shared" si="77"/>
        <v>0.38852979470856125</v>
      </c>
      <c r="AX34" s="52">
        <f t="shared" si="78"/>
        <v>0</v>
      </c>
      <c r="AY34" s="74">
        <f t="shared" si="79"/>
        <v>0</v>
      </c>
      <c r="AZ34" s="78">
        <f t="shared" si="80"/>
        <v>0</v>
      </c>
      <c r="BA34" s="87">
        <f t="shared" si="81"/>
        <v>0</v>
      </c>
      <c r="BB34" s="110">
        <f t="shared" si="82"/>
        <v>17871.758454157614</v>
      </c>
      <c r="BC34" s="69">
        <f t="shared" si="83"/>
        <v>13.403818840618211</v>
      </c>
      <c r="BD34" s="42">
        <f t="shared" si="84"/>
        <v>12928.9236132437</v>
      </c>
      <c r="BE34" s="79">
        <f t="shared" si="85"/>
        <v>9.6966927099327744</v>
      </c>
      <c r="BF34" s="117" t="e">
        <f t="shared" si="16"/>
        <v>#NUM!</v>
      </c>
      <c r="BG34" s="118" t="e">
        <f t="shared" si="17"/>
        <v>#NUM!</v>
      </c>
      <c r="BH34" s="117">
        <f t="shared" si="18"/>
        <v>3.9418515684774288E-4</v>
      </c>
      <c r="BI34" s="118">
        <f t="shared" si="19"/>
        <v>1.0542290881294061E-2</v>
      </c>
      <c r="BJ34" s="117">
        <f t="shared" si="20"/>
        <v>0</v>
      </c>
      <c r="BK34" s="118">
        <f t="shared" si="21"/>
        <v>0</v>
      </c>
      <c r="BL34" s="91">
        <f t="shared" si="22"/>
        <v>0</v>
      </c>
      <c r="BM34" s="93">
        <f t="shared" si="23"/>
        <v>0</v>
      </c>
      <c r="BN34" s="91">
        <f t="shared" si="24"/>
        <v>0</v>
      </c>
      <c r="BO34" s="93">
        <f t="shared" si="25"/>
        <v>0</v>
      </c>
      <c r="BP34" s="91">
        <f t="shared" si="26"/>
        <v>0</v>
      </c>
      <c r="BQ34" s="93">
        <f t="shared" si="27"/>
        <v>0</v>
      </c>
      <c r="BR34" s="91">
        <f t="shared" si="28"/>
        <v>0</v>
      </c>
      <c r="BS34" s="93">
        <f t="shared" si="29"/>
        <v>0</v>
      </c>
      <c r="BT34" s="188">
        <f t="shared" si="30"/>
        <v>0</v>
      </c>
      <c r="BU34" s="93">
        <f t="shared" si="31"/>
        <v>0</v>
      </c>
      <c r="BV34" s="117" t="e">
        <f t="shared" si="86"/>
        <v>#NUM!</v>
      </c>
      <c r="BW34" s="206" t="e">
        <f t="shared" si="87"/>
        <v>#NUM!</v>
      </c>
      <c r="BX34" s="206" t="e">
        <f t="shared" si="88"/>
        <v>#NUM!</v>
      </c>
      <c r="BY34" s="97" t="e">
        <f t="shared" si="89"/>
        <v>#NUM!</v>
      </c>
      <c r="BZ34" s="123" t="e">
        <f t="shared" si="90"/>
        <v>#NUM!</v>
      </c>
      <c r="CA34" s="91">
        <f t="shared" si="91"/>
        <v>2.6702880859375004E-3</v>
      </c>
      <c r="CB34" s="92">
        <f t="shared" si="32"/>
        <v>2.5000000000000001E-3</v>
      </c>
      <c r="CC34" s="92">
        <f t="shared" si="33"/>
        <v>0</v>
      </c>
      <c r="CD34" s="92">
        <f t="shared" si="34"/>
        <v>0</v>
      </c>
      <c r="CE34" s="92">
        <f t="shared" si="35"/>
        <v>0</v>
      </c>
      <c r="CF34" s="92">
        <f t="shared" si="36"/>
        <v>0</v>
      </c>
      <c r="CG34" s="92">
        <f t="shared" si="37"/>
        <v>0</v>
      </c>
      <c r="CH34" s="92">
        <f t="shared" si="38"/>
        <v>0</v>
      </c>
      <c r="CI34" s="127">
        <f t="shared" si="92"/>
        <v>5.1702880859375005E-3</v>
      </c>
      <c r="CJ34" s="91">
        <f t="shared" si="93"/>
        <v>1.9073486328125E-4</v>
      </c>
      <c r="CK34" s="92">
        <f t="shared" si="39"/>
        <v>3.3750000000000009E-2</v>
      </c>
      <c r="CL34" s="92">
        <f t="shared" si="40"/>
        <v>8.1000000000000016E-2</v>
      </c>
      <c r="CM34" s="127">
        <f t="shared" si="94"/>
        <v>0.11494073486328127</v>
      </c>
      <c r="CN34" s="91">
        <f t="shared" si="41"/>
        <v>0.15</v>
      </c>
      <c r="CO34" s="92">
        <f t="shared" si="42"/>
        <v>0</v>
      </c>
      <c r="CP34" s="92">
        <f t="shared" si="43"/>
        <v>0</v>
      </c>
      <c r="CQ34" s="92">
        <f t="shared" si="44"/>
        <v>0</v>
      </c>
      <c r="CR34" s="92">
        <f t="shared" si="45"/>
        <v>0</v>
      </c>
      <c r="CS34" s="92">
        <f t="shared" si="46"/>
        <v>0</v>
      </c>
      <c r="CT34" s="92">
        <f t="shared" si="47"/>
        <v>0</v>
      </c>
      <c r="CU34" s="127">
        <f t="shared" si="48"/>
        <v>0.15</v>
      </c>
      <c r="CV34" s="231">
        <f t="shared" si="49"/>
        <v>3.5216863440063424E-2</v>
      </c>
      <c r="CW34" s="188">
        <f t="shared" si="50"/>
        <v>0.30532788638928221</v>
      </c>
      <c r="CX34" s="206">
        <f t="shared" si="51"/>
        <v>7.8053278863892821</v>
      </c>
      <c r="CY34" s="231">
        <f t="shared" si="52"/>
        <v>0.96088211913279076</v>
      </c>
      <c r="CZ34">
        <f t="shared" si="53"/>
        <v>78.400000000000006</v>
      </c>
      <c r="DA34">
        <f t="shared" si="54"/>
        <v>825.52951298897347</v>
      </c>
      <c r="DD34" s="22">
        <v>4000</v>
      </c>
      <c r="DE34" s="22">
        <f t="shared" si="95"/>
        <v>25132.741228718343</v>
      </c>
      <c r="DF34" s="91">
        <f t="shared" si="96"/>
        <v>15.045176799837122</v>
      </c>
      <c r="DG34" s="93">
        <f t="shared" si="97"/>
        <v>-86.959737317914005</v>
      </c>
      <c r="DH34" s="91">
        <f t="shared" si="98"/>
        <v>-23.421883345386718</v>
      </c>
      <c r="DI34" s="92">
        <f t="shared" si="99"/>
        <v>152.66958563504002</v>
      </c>
      <c r="DJ34" s="92">
        <f t="shared" si="55"/>
        <v>-7.8455818651107121</v>
      </c>
      <c r="DK34" s="93">
        <f t="shared" si="100"/>
        <v>161.87513006115495</v>
      </c>
      <c r="DL34" s="91">
        <f t="shared" si="101"/>
        <v>-8.3767065455495953</v>
      </c>
      <c r="DM34" s="92">
        <f t="shared" si="102"/>
        <v>65.709848317126017</v>
      </c>
      <c r="DN34" s="92">
        <f t="shared" si="103"/>
        <v>7.1995949347264103</v>
      </c>
      <c r="DO34" s="93">
        <f t="shared" si="104"/>
        <v>74.915392743240943</v>
      </c>
    </row>
    <row r="35" spans="1:119" ht="15" x14ac:dyDescent="0.25">
      <c r="A35" t="s">
        <v>294</v>
      </c>
      <c r="B35" s="8">
        <f>VLOOKUP(ILrms_Total_Max_FB_DCM,R4:AV54,14,FALSE)</f>
        <v>0</v>
      </c>
      <c r="C35" s="12" t="s">
        <v>6</v>
      </c>
      <c r="D35" s="2"/>
      <c r="K35" s="58">
        <v>31</v>
      </c>
      <c r="L35" s="131">
        <f t="shared" si="56"/>
        <v>39.480000000000004</v>
      </c>
      <c r="M35" s="130">
        <f t="shared" si="57"/>
        <v>0.1899696048632219</v>
      </c>
      <c r="N35" s="132">
        <f t="shared" si="0"/>
        <v>0.35073966270043372</v>
      </c>
      <c r="O35" s="52">
        <f t="shared" si="58"/>
        <v>0.24801039392655908</v>
      </c>
      <c r="P35" s="21">
        <f t="shared" si="59"/>
        <v>0.54162567016401186</v>
      </c>
      <c r="Q35" s="19">
        <f t="shared" si="60"/>
        <v>1.0832513403280235</v>
      </c>
      <c r="R35" s="6">
        <f t="shared" si="1"/>
        <v>0.73836764077536521</v>
      </c>
      <c r="S35" s="55">
        <f t="shared" si="61"/>
        <v>0.37039153076140929</v>
      </c>
      <c r="T35" s="133">
        <f t="shared" si="62"/>
        <v>0.31796451891349659</v>
      </c>
      <c r="U35" s="54">
        <f t="shared" si="2"/>
        <v>0.34618004708532812</v>
      </c>
      <c r="V35" s="21">
        <f t="shared" si="63"/>
        <v>2.8886702408747298</v>
      </c>
      <c r="W35" s="21">
        <f t="shared" si="64"/>
        <v>0.9812696267038824</v>
      </c>
      <c r="X35" s="63">
        <f t="shared" si="65"/>
        <v>0.84432818281257005</v>
      </c>
      <c r="Y35" s="54">
        <f t="shared" si="3"/>
        <v>0</v>
      </c>
      <c r="Z35" s="21">
        <f t="shared" si="4"/>
        <v>0</v>
      </c>
      <c r="AA35" s="21">
        <f t="shared" si="66"/>
        <v>0</v>
      </c>
      <c r="AB35" s="63">
        <f t="shared" si="67"/>
        <v>0</v>
      </c>
      <c r="AC35" s="52">
        <f t="shared" si="5"/>
        <v>0</v>
      </c>
      <c r="AD35" s="21">
        <f t="shared" si="6"/>
        <v>0</v>
      </c>
      <c r="AE35" s="21">
        <f t="shared" si="68"/>
        <v>0</v>
      </c>
      <c r="AF35" s="63">
        <f t="shared" si="69"/>
        <v>0</v>
      </c>
      <c r="AG35" s="52">
        <f t="shared" si="7"/>
        <v>0</v>
      </c>
      <c r="AH35" s="21">
        <f t="shared" si="8"/>
        <v>0</v>
      </c>
      <c r="AI35" s="21">
        <f t="shared" si="70"/>
        <v>0</v>
      </c>
      <c r="AJ35" s="63">
        <f t="shared" si="71"/>
        <v>0</v>
      </c>
      <c r="AK35" s="52">
        <f t="shared" si="9"/>
        <v>0</v>
      </c>
      <c r="AL35" s="21">
        <f t="shared" si="10"/>
        <v>0</v>
      </c>
      <c r="AM35" s="21">
        <f t="shared" si="72"/>
        <v>0</v>
      </c>
      <c r="AN35" s="63">
        <f t="shared" si="73"/>
        <v>0</v>
      </c>
      <c r="AO35" s="52">
        <f t="shared" si="74"/>
        <v>0</v>
      </c>
      <c r="AP35" s="21">
        <f t="shared" si="11"/>
        <v>0</v>
      </c>
      <c r="AQ35" s="21">
        <f t="shared" si="75"/>
        <v>0</v>
      </c>
      <c r="AR35" s="181">
        <f t="shared" si="76"/>
        <v>0</v>
      </c>
      <c r="AS35" s="52">
        <f t="shared" si="12"/>
        <v>0</v>
      </c>
      <c r="AT35" s="21">
        <f t="shared" si="13"/>
        <v>0</v>
      </c>
      <c r="AU35" s="21">
        <f t="shared" si="14"/>
        <v>0</v>
      </c>
      <c r="AV35" s="63">
        <f t="shared" si="15"/>
        <v>0</v>
      </c>
      <c r="AW35" s="182">
        <f t="shared" si="77"/>
        <v>0.38852979470856125</v>
      </c>
      <c r="AX35" s="52">
        <f t="shared" si="78"/>
        <v>0</v>
      </c>
      <c r="AY35" s="74">
        <f t="shared" si="79"/>
        <v>0</v>
      </c>
      <c r="AZ35" s="78">
        <f t="shared" si="80"/>
        <v>0</v>
      </c>
      <c r="BA35" s="87">
        <f t="shared" si="81"/>
        <v>0</v>
      </c>
      <c r="BB35" s="110">
        <f t="shared" si="82"/>
        <v>17871.758454157614</v>
      </c>
      <c r="BC35" s="69">
        <f t="shared" si="83"/>
        <v>13.403818840618211</v>
      </c>
      <c r="BD35" s="42">
        <f t="shared" si="84"/>
        <v>12928.9236132437</v>
      </c>
      <c r="BE35" s="79">
        <f t="shared" si="85"/>
        <v>9.6966927099327744</v>
      </c>
      <c r="BF35" s="117" t="e">
        <f t="shared" si="16"/>
        <v>#NUM!</v>
      </c>
      <c r="BG35" s="118" t="e">
        <f t="shared" si="17"/>
        <v>#NUM!</v>
      </c>
      <c r="BH35" s="117">
        <f t="shared" si="18"/>
        <v>3.9418515684774288E-4</v>
      </c>
      <c r="BI35" s="118">
        <f t="shared" si="19"/>
        <v>1.0542290881294061E-2</v>
      </c>
      <c r="BJ35" s="117">
        <f t="shared" si="20"/>
        <v>0</v>
      </c>
      <c r="BK35" s="118">
        <f t="shared" si="21"/>
        <v>0</v>
      </c>
      <c r="BL35" s="91">
        <f t="shared" si="22"/>
        <v>0</v>
      </c>
      <c r="BM35" s="93">
        <f t="shared" si="23"/>
        <v>0</v>
      </c>
      <c r="BN35" s="91">
        <f t="shared" si="24"/>
        <v>0</v>
      </c>
      <c r="BO35" s="93">
        <f t="shared" si="25"/>
        <v>0</v>
      </c>
      <c r="BP35" s="91">
        <f t="shared" si="26"/>
        <v>0</v>
      </c>
      <c r="BQ35" s="93">
        <f t="shared" si="27"/>
        <v>0</v>
      </c>
      <c r="BR35" s="91">
        <f t="shared" si="28"/>
        <v>0</v>
      </c>
      <c r="BS35" s="93">
        <f t="shared" si="29"/>
        <v>0</v>
      </c>
      <c r="BT35" s="188">
        <f t="shared" si="30"/>
        <v>0</v>
      </c>
      <c r="BU35" s="93">
        <f t="shared" si="31"/>
        <v>0</v>
      </c>
      <c r="BV35" s="117" t="e">
        <f t="shared" si="86"/>
        <v>#NUM!</v>
      </c>
      <c r="BW35" s="206" t="e">
        <f t="shared" si="87"/>
        <v>#NUM!</v>
      </c>
      <c r="BX35" s="206" t="e">
        <f t="shared" si="88"/>
        <v>#NUM!</v>
      </c>
      <c r="BY35" s="97" t="e">
        <f t="shared" si="89"/>
        <v>#NUM!</v>
      </c>
      <c r="BZ35" s="123" t="e">
        <f t="shared" si="90"/>
        <v>#NUM!</v>
      </c>
      <c r="CA35" s="91">
        <f t="shared" si="91"/>
        <v>2.5261915540322065E-3</v>
      </c>
      <c r="CB35" s="92">
        <f t="shared" si="32"/>
        <v>2.5000000000000001E-3</v>
      </c>
      <c r="CC35" s="92">
        <f t="shared" si="33"/>
        <v>0</v>
      </c>
      <c r="CD35" s="92">
        <f t="shared" si="34"/>
        <v>0</v>
      </c>
      <c r="CE35" s="92">
        <f t="shared" si="35"/>
        <v>0</v>
      </c>
      <c r="CF35" s="92">
        <f t="shared" si="36"/>
        <v>0</v>
      </c>
      <c r="CG35" s="92">
        <f t="shared" si="37"/>
        <v>0</v>
      </c>
      <c r="CH35" s="92">
        <f t="shared" si="38"/>
        <v>0</v>
      </c>
      <c r="CI35" s="127">
        <f t="shared" si="92"/>
        <v>5.0261915540322066E-3</v>
      </c>
      <c r="CJ35" s="91">
        <f t="shared" si="93"/>
        <v>1.8044225385944329E-4</v>
      </c>
      <c r="CK35" s="92">
        <f t="shared" si="39"/>
        <v>3.3750000000000009E-2</v>
      </c>
      <c r="CL35" s="92">
        <f t="shared" si="40"/>
        <v>8.1000000000000016E-2</v>
      </c>
      <c r="CM35" s="127">
        <f t="shared" si="94"/>
        <v>0.11493044225385947</v>
      </c>
      <c r="CN35" s="91">
        <f t="shared" si="41"/>
        <v>0.15</v>
      </c>
      <c r="CO35" s="92">
        <f t="shared" si="42"/>
        <v>0</v>
      </c>
      <c r="CP35" s="92">
        <f t="shared" si="43"/>
        <v>0</v>
      </c>
      <c r="CQ35" s="92">
        <f t="shared" si="44"/>
        <v>0</v>
      </c>
      <c r="CR35" s="92">
        <f t="shared" si="45"/>
        <v>0</v>
      </c>
      <c r="CS35" s="92">
        <f t="shared" si="46"/>
        <v>0</v>
      </c>
      <c r="CT35" s="92">
        <f t="shared" si="47"/>
        <v>0</v>
      </c>
      <c r="CU35" s="127">
        <f t="shared" si="48"/>
        <v>0.15</v>
      </c>
      <c r="CV35" s="231">
        <f t="shared" si="49"/>
        <v>3.4971165662563121E-2</v>
      </c>
      <c r="CW35" s="188">
        <f t="shared" si="50"/>
        <v>0.30492779947045479</v>
      </c>
      <c r="CX35" s="206">
        <f t="shared" si="51"/>
        <v>7.8049277994704545</v>
      </c>
      <c r="CY35" s="231">
        <f t="shared" si="52"/>
        <v>0.96093137472826551</v>
      </c>
      <c r="CZ35">
        <f t="shared" si="53"/>
        <v>79.48</v>
      </c>
      <c r="DA35">
        <f t="shared" si="54"/>
        <v>826.60951298897351</v>
      </c>
      <c r="DD35" s="22">
        <v>5000</v>
      </c>
      <c r="DE35" s="22">
        <f t="shared" si="95"/>
        <v>31415.926535897932</v>
      </c>
      <c r="DF35" s="91">
        <f t="shared" si="96"/>
        <v>13.110231484966231</v>
      </c>
      <c r="DG35" s="93">
        <f t="shared" si="97"/>
        <v>-86.726110303819425</v>
      </c>
      <c r="DH35" s="91">
        <f t="shared" si="98"/>
        <v>-23.688849617656974</v>
      </c>
      <c r="DI35" s="92">
        <f t="shared" si="99"/>
        <v>150.44696835330072</v>
      </c>
      <c r="DJ35" s="92">
        <f t="shared" si="55"/>
        <v>-8.0034614047032804</v>
      </c>
      <c r="DK35" s="93">
        <f t="shared" si="100"/>
        <v>159.15678297929367</v>
      </c>
      <c r="DL35" s="91">
        <f t="shared" si="101"/>
        <v>-10.578618132690742</v>
      </c>
      <c r="DM35" s="92">
        <f t="shared" si="102"/>
        <v>63.720858049481294</v>
      </c>
      <c r="DN35" s="92">
        <f t="shared" si="103"/>
        <v>5.106770080262951</v>
      </c>
      <c r="DO35" s="93">
        <f t="shared" si="104"/>
        <v>72.430672675474241</v>
      </c>
    </row>
    <row r="36" spans="1:119" ht="15" x14ac:dyDescent="0.25">
      <c r="A36" t="s">
        <v>295</v>
      </c>
      <c r="B36" s="8">
        <f>VLOOKUP(ILrms_Total_Max_FB_DCM,R4:AV54,18,FALSE)</f>
        <v>0</v>
      </c>
      <c r="C36" s="12" t="s">
        <v>6</v>
      </c>
      <c r="D36" s="2"/>
      <c r="K36" s="58">
        <v>32</v>
      </c>
      <c r="L36" s="131">
        <f t="shared" si="56"/>
        <v>40.56</v>
      </c>
      <c r="M36" s="130">
        <f t="shared" si="57"/>
        <v>0.1849112426035503</v>
      </c>
      <c r="N36" s="132">
        <f t="shared" si="0"/>
        <v>0.34140044091255239</v>
      </c>
      <c r="O36" s="52">
        <f t="shared" si="58"/>
        <v>0.24140656686934303</v>
      </c>
      <c r="P36" s="21">
        <f t="shared" si="59"/>
        <v>0.54162567016401175</v>
      </c>
      <c r="Q36" s="19">
        <f t="shared" si="60"/>
        <v>1.0832513403280237</v>
      </c>
      <c r="R36" s="6">
        <f t="shared" ref="R36:R54" si="105">SUM(S36,(Ns1_Flyback/Np)*W36,(Ns2_Flyback/Np)*AA36,(Ns3_Flyback/Np)*AE36,(Ns4_Flyback/Np)*AI36,(Ns5_Flyback/Np)*AM36,(Ns6_Flyback/Np)*AR36,(NsAux_Flyback/Np)*AU36)</f>
        <v>0.73340312177965838</v>
      </c>
      <c r="S36" s="55">
        <f t="shared" si="61"/>
        <v>0.36542701176570247</v>
      </c>
      <c r="T36" s="133">
        <f t="shared" si="62"/>
        <v>0.31518999553732951</v>
      </c>
      <c r="U36" s="54">
        <f t="shared" ref="U36:U54" si="106">IF(AND(Vout1&lt;&gt;0,Iout1&lt;&gt;0),(Lm_Flyback_DCM*((Ns1_Flyback/Np)^2)*Fsw*V36)/ABS(Vout1),0)</f>
        <v>0.34618004708532812</v>
      </c>
      <c r="V36" s="21">
        <f t="shared" ref="V36:V54" si="107">IF(AND(Vout1&lt;&gt;0,Iout1&lt;&gt;0),(SQRT((2*ABS(Vout1)*Iout1)/(Fsw*Lm_Flyback_DCM*((Ns1_Flyback/Np)^2)))),0)</f>
        <v>2.8886702408747298</v>
      </c>
      <c r="W36" s="21">
        <f t="shared" si="64"/>
        <v>0.9812696267038824</v>
      </c>
      <c r="X36" s="63">
        <f t="shared" si="65"/>
        <v>0.84432818281257005</v>
      </c>
      <c r="Y36" s="54">
        <f t="shared" ref="Y36:Y54" si="108">IF(AND(Vout2&lt;&gt;0,Iout2&lt;&gt;0),(Lm_Flyback_DCM*((Ns2_Flyback/Np)^2)*Fsw*Z36)/ABS(Vout2),0)</f>
        <v>0</v>
      </c>
      <c r="Z36" s="21">
        <f t="shared" ref="Z36:Z54" si="109">IF(AND(Vout2&lt;&gt;0,Iout2&lt;&gt;0),(SQRT((2*ABS(Vout2)*Iout2)/(Fsw*Lm_Flyback_DCM*((Ns2_Flyback/Np)^2)))),0)</f>
        <v>0</v>
      </c>
      <c r="AA36" s="21">
        <f t="shared" si="66"/>
        <v>0</v>
      </c>
      <c r="AB36" s="63">
        <f t="shared" si="67"/>
        <v>0</v>
      </c>
      <c r="AC36" s="52">
        <f t="shared" ref="AC36:AC54" si="110">IF(AND(Vout3&lt;&gt;0,Iout3&lt;&gt;0),(Lm_Flyback_DCM*((Ns3_Flyback/Np)^2)*Fsw*AD36)/ABS(Vout3),0)</f>
        <v>0</v>
      </c>
      <c r="AD36" s="21">
        <f t="shared" ref="AD36:AD54" si="111">IF(AND(Vout3&lt;&gt;0,Iout3&lt;&gt;0),(SQRT((2*ABS(Vout3)*Iout3)/(Fsw*Lm_Flyback_DCM*((Ns3_Flyback/Np)^2)))),0)</f>
        <v>0</v>
      </c>
      <c r="AE36" s="21">
        <f t="shared" si="68"/>
        <v>0</v>
      </c>
      <c r="AF36" s="63">
        <f t="shared" si="69"/>
        <v>0</v>
      </c>
      <c r="AG36" s="52">
        <f t="shared" ref="AG36:AG54" si="112">IF(AND(Vout4&lt;&gt;0,Iout4&lt;&gt;0),(Lm_Flyback_DCM*((Ns4_Flyback/Np)^2)*Fsw*AH36)/ABS(Vout4),0)</f>
        <v>0</v>
      </c>
      <c r="AH36" s="21">
        <f t="shared" ref="AH36:AH54" si="113">IF(AND(Vout4&lt;&gt;0,Iout4&lt;&gt;0),(SQRT((2*ABS(Vout4)*Iout4)/(Fsw*Lm_Flyback_DCM*((Ns4_Flyback/Np)^2)))),0)</f>
        <v>0</v>
      </c>
      <c r="AI36" s="21">
        <f t="shared" si="70"/>
        <v>0</v>
      </c>
      <c r="AJ36" s="63">
        <f t="shared" si="71"/>
        <v>0</v>
      </c>
      <c r="AK36" s="52">
        <f t="shared" ref="AK36:AK54" si="114">IF(AND(Vout5&lt;&gt;0,Iout5&lt;&gt;0),(Lm_Flyback_DCM*((Ns5_Flyback/Np)^2)*Fsw*AL36)/ABS(Vout5),0)</f>
        <v>0</v>
      </c>
      <c r="AL36" s="21">
        <f t="shared" ref="AL36:AL54" si="115">IF(AND(Vout5&lt;&gt;0,Iout5&lt;&gt;0),(SQRT((2*ABS(Vout5)*Iout5)/(Fsw*Lm_Flyback_DCM*((Ns5_Flyback/Np)^2)))),0)</f>
        <v>0</v>
      </c>
      <c r="AM36" s="21">
        <f t="shared" si="72"/>
        <v>0</v>
      </c>
      <c r="AN36" s="63">
        <f t="shared" si="73"/>
        <v>0</v>
      </c>
      <c r="AO36" s="52">
        <f t="shared" ref="AO36:AO54" si="116">IF(AND(Vout6&lt;&gt;0,Iout6&lt;&gt;0),(Lm_Flyback_DCM*((Ns6_Flyback/Np)^2)*Fsw*AP36)/ABS(Vout6),0)</f>
        <v>0</v>
      </c>
      <c r="AP36" s="21">
        <f t="shared" ref="AP36:AP54" si="117">IF(AND(Vout6&lt;&gt;0,Iout6&lt;&gt;0),(SQRT((2*ABS(Vout6)*Iout6)/(Fsw*Lm_Flyback_DCM*((Ns6_Flyback/Np)^2)))),0)</f>
        <v>0</v>
      </c>
      <c r="AQ36" s="21">
        <f t="shared" si="75"/>
        <v>0</v>
      </c>
      <c r="AR36" s="181">
        <f t="shared" si="76"/>
        <v>0</v>
      </c>
      <c r="AS36" s="52">
        <f t="shared" ref="AS36:AS54" si="118">IF(AND(VOUTAUX&lt;&gt;0,IoutAux&lt;&gt;0),(Lm_Flyback_DCM*((NsAux_Flyback/Np)^2)*Fsw*AT36)/ABS(VOUTAUX),0)</f>
        <v>0</v>
      </c>
      <c r="AT36" s="21">
        <f t="shared" ref="AT36:AT54" si="119">IF(AND(VOUTAUX&lt;&gt;0,IoutAux&lt;&gt;0),(SQRT((2*ABS(VOUTAUX)*IoutAux)/(Fsw*Lm_Flyback_DCM*((NsAux_Flyback/Np)^2)))),0)</f>
        <v>0</v>
      </c>
      <c r="AU36" s="21">
        <f t="shared" ref="AU36:AU54" si="120">IF(AND(VOUTAUX&lt;&gt;0,IoutAux&lt;&gt;0),SQRT(AS36/3)*AT36,0)</f>
        <v>0</v>
      </c>
      <c r="AV36" s="63">
        <f t="shared" ref="AV36:AV54" si="121">IF(AND(VOUTAUX&lt;&gt;0,IoutAux&lt;&gt;0),SQRT((AU36^2)-(IoutAux^2)),0)</f>
        <v>0</v>
      </c>
      <c r="AW36" s="182">
        <f t="shared" si="77"/>
        <v>0.38852979470856125</v>
      </c>
      <c r="AX36" s="52">
        <f t="shared" si="78"/>
        <v>0</v>
      </c>
      <c r="AY36" s="74">
        <f t="shared" si="79"/>
        <v>0</v>
      </c>
      <c r="AZ36" s="78">
        <f t="shared" si="80"/>
        <v>0</v>
      </c>
      <c r="BA36" s="87">
        <f t="shared" si="81"/>
        <v>0</v>
      </c>
      <c r="BB36" s="110">
        <f t="shared" si="82"/>
        <v>17871.758454157614</v>
      </c>
      <c r="BC36" s="69">
        <f t="shared" si="83"/>
        <v>13.403818840618211</v>
      </c>
      <c r="BD36" s="42">
        <f t="shared" si="84"/>
        <v>12928.9236132437</v>
      </c>
      <c r="BE36" s="79">
        <f t="shared" si="85"/>
        <v>9.6966927099327744</v>
      </c>
      <c r="BF36" s="117" t="e">
        <f t="shared" ref="BF36:BF54" si="122">(M36^2)*RdcPri_Flyback_DCM</f>
        <v>#NUM!</v>
      </c>
      <c r="BG36" s="118" t="e">
        <f t="shared" ref="BG36:BG54" si="123">RacPri_Flyback_DCM*(T36^2)</f>
        <v>#NUM!</v>
      </c>
      <c r="BH36" s="117">
        <f t="shared" ref="BH36:BH54" si="124">IF(AND(Vout1&lt;&gt;0,Iout1&lt;&gt;0),Rdc1_Flyback_DCM*(Iout1^2),0)</f>
        <v>3.9418515684774288E-4</v>
      </c>
      <c r="BI36" s="118">
        <f t="shared" ref="BI36:BI54" si="125">IF(AND(Vout1&lt;&gt;0,Iout1&lt;&gt;0),Rac1_Flyback_DCM*(X36^2),0)</f>
        <v>1.0542290881294061E-2</v>
      </c>
      <c r="BJ36" s="117">
        <f t="shared" ref="BJ36:BJ54" si="126">IF(AND(Vout2&lt;&gt;0,Iout2&lt;&gt;0),Rdc2_Flyback_DCM*(Iout2^2),0)</f>
        <v>0</v>
      </c>
      <c r="BK36" s="118">
        <f t="shared" ref="BK36:BK54" si="127">IF(AND(Vout2&lt;&gt;0,Iout2&lt;&gt;0),Rac2_Flyback_DCM*(AB36^2),0)</f>
        <v>0</v>
      </c>
      <c r="BL36" s="91">
        <f t="shared" ref="BL36:BL54" si="128">IF(AND(Vout3&lt;&gt;0,Iout3&lt;&gt;0),Rdc3_Flyback_DCM*(Iout3^2),0)</f>
        <v>0</v>
      </c>
      <c r="BM36" s="93">
        <f t="shared" ref="BM36:BM54" si="129">IF(AND(Vout3&lt;&gt;0,Iout3&lt;&gt;0),Rac3_Flyback_DCM*(AF36^2),0)</f>
        <v>0</v>
      </c>
      <c r="BN36" s="91">
        <f t="shared" ref="BN36:BN54" si="130">IF(AND(Vout4&lt;&gt;0,Iout4&lt;&gt;0),Rdc4_Flyback_DCM*(Iout4^2),0)</f>
        <v>0</v>
      </c>
      <c r="BO36" s="93">
        <f t="shared" ref="BO36:BO54" si="131">IF(AND(Vout4&lt;&gt;0,Iout4&lt;&gt;0),Rac4_Flyback_DCM*(AJ36^2),0)</f>
        <v>0</v>
      </c>
      <c r="BP36" s="91">
        <f t="shared" ref="BP36:BP54" si="132">IF(AND(Vout5&lt;&gt;0,Iout5&lt;&gt;0),Rdc5_Flyback_DCM*(Iout5^2),0)</f>
        <v>0</v>
      </c>
      <c r="BQ36" s="93">
        <f t="shared" ref="BQ36:BQ54" si="133">IF(AND(Vout5&lt;&gt;0,Iout5&lt;&gt;0),Rac5_Flyback_DCM*(AN36^2),0)</f>
        <v>0</v>
      </c>
      <c r="BR36" s="91">
        <f t="shared" ref="BR36:BR54" si="134">IF(AND(Vout6&lt;&gt;0,Iout6&lt;&gt;0),Rdc6_Flyback_DCM*(Iout6^2),0)</f>
        <v>0</v>
      </c>
      <c r="BS36" s="93">
        <f t="shared" ref="BS36:BS54" si="135">IF(AND(Vout6&lt;&gt;0,Iout6&lt;&gt;0),Rac6_Flyback_DCM*(AR36^2),0)</f>
        <v>0</v>
      </c>
      <c r="BT36" s="188">
        <f t="shared" ref="BT36:BT54" si="136">IF(AND(VOUTAUX&lt;&gt;0,IoutAux&lt;&gt;0),RdcAUX_Flyback_DCM*(IoutAux^2),0)</f>
        <v>0</v>
      </c>
      <c r="BU36" s="93">
        <f t="shared" ref="BU36:BU54" si="137">IF(AND(VOUTAUX&lt;&gt;0,IoutAux&lt;&gt;0),RacAUX_Flyback_DCM*(AV36^2),0)</f>
        <v>0</v>
      </c>
      <c r="BV36" s="117" t="e">
        <f t="shared" si="86"/>
        <v>#NUM!</v>
      </c>
      <c r="BW36" s="206" t="e">
        <f t="shared" si="87"/>
        <v>#NUM!</v>
      </c>
      <c r="BX36" s="206" t="e">
        <f t="shared" si="88"/>
        <v>#NUM!</v>
      </c>
      <c r="BY36" s="97" t="e">
        <f t="shared" si="89"/>
        <v>#NUM!</v>
      </c>
      <c r="BZ36" s="123" t="e">
        <f t="shared" si="90"/>
        <v>#NUM!</v>
      </c>
      <c r="CA36" s="91">
        <f t="shared" si="91"/>
        <v>2.3934517348832328E-3</v>
      </c>
      <c r="CB36" s="92">
        <f t="shared" ref="CB36:CB54" si="138">IF(AND(Vout1&lt;&gt;0,Iout1&lt;&gt;0),(Iout1^2)*$B$100,0)</f>
        <v>2.5000000000000001E-3</v>
      </c>
      <c r="CC36" s="92">
        <f t="shared" ref="CC36:CC54" si="139">IF(AND(Vout2&lt;&gt;0,Iout2&lt;&gt;0),(Iout2^2)*$B$101,0)</f>
        <v>0</v>
      </c>
      <c r="CD36" s="92">
        <f t="shared" ref="CD36:CD54" si="140">IF(AND(Vout3&lt;&gt;0,Iout3&lt;&gt;0),(Iout3^2)*$B$102,0)</f>
        <v>0</v>
      </c>
      <c r="CE36" s="92">
        <f t="shared" ref="CE36:CE54" si="141">IF(AND(Vout4&lt;&gt;0,Iout4&lt;&gt;0),(Iout4^2)*$B$103,0)</f>
        <v>0</v>
      </c>
      <c r="CF36" s="92">
        <f t="shared" ref="CF36:CF54" si="142">IF(AND(Vout5&lt;&gt;0,Iout5&lt;&gt;0),(Iout5^2)*$B$104,0)</f>
        <v>0</v>
      </c>
      <c r="CG36" s="92">
        <f t="shared" ref="CG36:CG54" si="143">IF(AND(Vout6&lt;&gt;0,Iout6&lt;&gt;0),(Iout6^2)*$B$105,0)</f>
        <v>0</v>
      </c>
      <c r="CH36" s="92">
        <f t="shared" ref="CH36:CH54" si="144">IF(AND(VOUTAUX&lt;&gt;0,IoutAux&lt;&gt;0),(IoutAux^2)*$B$106,0)</f>
        <v>0</v>
      </c>
      <c r="CI36" s="127">
        <f t="shared" si="92"/>
        <v>4.8934517348832324E-3</v>
      </c>
      <c r="CJ36" s="91">
        <f t="shared" si="93"/>
        <v>1.7096083820594517E-4</v>
      </c>
      <c r="CK36" s="92">
        <f t="shared" ref="CK36:CK54" si="145">0.5*M36*L36*Fsw*T_Rise_Fall</f>
        <v>3.3750000000000009E-2</v>
      </c>
      <c r="CL36" s="92">
        <f t="shared" ref="CL36:CL54" si="146">$B$88*$B$79*Fsw</f>
        <v>8.1000000000000016E-2</v>
      </c>
      <c r="CM36" s="127">
        <f t="shared" si="94"/>
        <v>0.11492096083820597</v>
      </c>
      <c r="CN36" s="91">
        <f t="shared" ref="CN36:CN54" si="147">IF(AND(Iout1&lt;&gt;0,Vout1&lt;&gt;0),Iout1*Vdiode1,0)</f>
        <v>0.15</v>
      </c>
      <c r="CO36" s="92">
        <f t="shared" ref="CO36:CO54" si="148">IF(AND(Iout2&lt;&gt;0,Vout2&lt;&gt;0),Iout2*Vdiode2,0)</f>
        <v>0</v>
      </c>
      <c r="CP36" s="92">
        <f t="shared" ref="CP36:CP54" si="149">IF(AND(Iout3&lt;&gt;0,Vout3&lt;&gt;0),Iout3*Vdiode3,0)</f>
        <v>0</v>
      </c>
      <c r="CQ36" s="92">
        <f t="shared" ref="CQ36:CQ54" si="150">IF(AND(Iout4&lt;&gt;0,Vout4&lt;&gt;0),Iout4*Vdiode4,0)</f>
        <v>0</v>
      </c>
      <c r="CR36" s="92">
        <f t="shared" ref="CR36:CR54" si="151">IF(AND(Iout5&lt;&gt;0,Vout5&lt;&gt;0),Iout5*Vdiode5,0)</f>
        <v>0</v>
      </c>
      <c r="CS36" s="92">
        <f t="shared" ref="CS36:CS54" si="152">IF(AND(Iout6&lt;&gt;0,Vout6&lt;&gt;0),Iout6*Vdiode6,0)</f>
        <v>0</v>
      </c>
      <c r="CT36" s="92">
        <f t="shared" ref="CT36:CT54" si="153">IF(AND(IoutAux&lt;&gt;0,VOUTAUX&lt;&gt;0),IoutAux*VdiodeAux,0)</f>
        <v>0</v>
      </c>
      <c r="CU36" s="127">
        <f t="shared" ref="CU36:CU54" si="154">SUM(CN36:CT36)</f>
        <v>0.15</v>
      </c>
      <c r="CV36" s="231">
        <f t="shared" ref="CV36:CV54" si="155">IF(AND(Vout1&lt;&gt;0,Ns1_Flyback&lt;&gt;0),0.5*(Q36^2)*LL_Flyback_DCM*Fsw*((Vclamp_Flyback_DCM-L36)/((Vclamp_Flyback_DCM-L36)+((Np/Ns1_Flyback)*ABS(Vout1)))),0)</f>
        <v>3.472013092609863E-2</v>
      </c>
      <c r="CW36" s="188">
        <f t="shared" ref="CW36:CW54" si="156">CI36+CM36+CV36+CU36</f>
        <v>0.30453454349918785</v>
      </c>
      <c r="CX36" s="206">
        <f t="shared" ref="CX36:CX54" si="157">Pout_Flyback+CW36</f>
        <v>7.8045345434991882</v>
      </c>
      <c r="CY36" s="231">
        <f t="shared" ref="CY36:CY54" si="158">Pout_Flyback/CX36</f>
        <v>0.96097979427192737</v>
      </c>
      <c r="CZ36">
        <f t="shared" ref="CZ36:CZ54" si="159">L36+(ABS(Vout1)*(Np/Ns1_Flyback))</f>
        <v>80.56</v>
      </c>
      <c r="DA36">
        <f t="shared" ref="DA36:DA54" si="160">IF(AND(Vout1&lt;&gt;0,Ns1_Flyback&lt;&gt;0),L36+(ABS(Vout1)*(Np/Ns1_Flyback))*(Q36*SQRT(LL_Flyback_DCM/Coss_Flyback_DCM)),0)</f>
        <v>827.68951298897355</v>
      </c>
      <c r="DD36" s="22">
        <v>6000</v>
      </c>
      <c r="DE36" s="22">
        <f t="shared" si="95"/>
        <v>37699.111843077517</v>
      </c>
      <c r="DF36" s="91">
        <f t="shared" si="96"/>
        <v>11.53014090978418</v>
      </c>
      <c r="DG36" s="93">
        <f t="shared" si="97"/>
        <v>-86.41489926080672</v>
      </c>
      <c r="DH36" s="91">
        <f t="shared" si="98"/>
        <v>-23.971735204216806</v>
      </c>
      <c r="DI36" s="92">
        <f t="shared" si="99"/>
        <v>147.83478528778608</v>
      </c>
      <c r="DJ36" s="92">
        <f t="shared" si="55"/>
        <v>-8.1854050466842327</v>
      </c>
      <c r="DK36" s="93">
        <f t="shared" si="100"/>
        <v>156.33036799830884</v>
      </c>
      <c r="DL36" s="91">
        <f t="shared" si="101"/>
        <v>-12.441594294432626</v>
      </c>
      <c r="DM36" s="92">
        <f t="shared" si="102"/>
        <v>61.419886026979356</v>
      </c>
      <c r="DN36" s="92">
        <f t="shared" si="103"/>
        <v>3.3447358630999471</v>
      </c>
      <c r="DO36" s="93">
        <f t="shared" si="104"/>
        <v>69.915468737502124</v>
      </c>
    </row>
    <row r="37" spans="1:119" ht="15" x14ac:dyDescent="0.25">
      <c r="A37" t="s">
        <v>296</v>
      </c>
      <c r="B37" s="8">
        <f>VLOOKUP(ILrms_Total_Max_FB_DCM,R4:AV54,22,FALSE)</f>
        <v>0</v>
      </c>
      <c r="C37" s="12" t="s">
        <v>6</v>
      </c>
      <c r="D37" s="2"/>
      <c r="K37" s="58">
        <v>33</v>
      </c>
      <c r="L37" s="131">
        <f t="shared" si="56"/>
        <v>41.64</v>
      </c>
      <c r="M37" s="130">
        <f t="shared" si="57"/>
        <v>0.18011527377521613</v>
      </c>
      <c r="N37" s="132">
        <f t="shared" si="0"/>
        <v>0.33254567443355249</v>
      </c>
      <c r="O37" s="52">
        <f t="shared" si="58"/>
        <v>0.23514530144621887</v>
      </c>
      <c r="P37" s="21">
        <f t="shared" si="59"/>
        <v>0.54162567016401175</v>
      </c>
      <c r="Q37" s="19">
        <f t="shared" si="60"/>
        <v>1.0832513403280237</v>
      </c>
      <c r="R37" s="6">
        <f t="shared" si="105"/>
        <v>0.72863302152456033</v>
      </c>
      <c r="S37" s="55">
        <f t="shared" si="61"/>
        <v>0.36065691151060442</v>
      </c>
      <c r="T37" s="133">
        <f t="shared" si="62"/>
        <v>0.31246103112747819</v>
      </c>
      <c r="U37" s="54">
        <f t="shared" si="106"/>
        <v>0.34618004708532812</v>
      </c>
      <c r="V37" s="21">
        <f t="shared" si="107"/>
        <v>2.8886702408747298</v>
      </c>
      <c r="W37" s="21">
        <f t="shared" si="64"/>
        <v>0.9812696267038824</v>
      </c>
      <c r="X37" s="63">
        <f t="shared" si="65"/>
        <v>0.84432818281257005</v>
      </c>
      <c r="Y37" s="54">
        <f t="shared" si="108"/>
        <v>0</v>
      </c>
      <c r="Z37" s="21">
        <f t="shared" si="109"/>
        <v>0</v>
      </c>
      <c r="AA37" s="21">
        <f t="shared" si="66"/>
        <v>0</v>
      </c>
      <c r="AB37" s="63">
        <f t="shared" si="67"/>
        <v>0</v>
      </c>
      <c r="AC37" s="52">
        <f t="shared" si="110"/>
        <v>0</v>
      </c>
      <c r="AD37" s="21">
        <f t="shared" si="111"/>
        <v>0</v>
      </c>
      <c r="AE37" s="21">
        <f t="shared" si="68"/>
        <v>0</v>
      </c>
      <c r="AF37" s="63">
        <f t="shared" si="69"/>
        <v>0</v>
      </c>
      <c r="AG37" s="52">
        <f t="shared" si="112"/>
        <v>0</v>
      </c>
      <c r="AH37" s="21">
        <f t="shared" si="113"/>
        <v>0</v>
      </c>
      <c r="AI37" s="21">
        <f t="shared" si="70"/>
        <v>0</v>
      </c>
      <c r="AJ37" s="63">
        <f t="shared" si="71"/>
        <v>0</v>
      </c>
      <c r="AK37" s="52">
        <f t="shared" si="114"/>
        <v>0</v>
      </c>
      <c r="AL37" s="21">
        <f t="shared" si="115"/>
        <v>0</v>
      </c>
      <c r="AM37" s="21">
        <f t="shared" si="72"/>
        <v>0</v>
      </c>
      <c r="AN37" s="63">
        <f t="shared" si="73"/>
        <v>0</v>
      </c>
      <c r="AO37" s="52">
        <f t="shared" si="116"/>
        <v>0</v>
      </c>
      <c r="AP37" s="21">
        <f t="shared" si="117"/>
        <v>0</v>
      </c>
      <c r="AQ37" s="21">
        <f t="shared" si="75"/>
        <v>0</v>
      </c>
      <c r="AR37" s="181">
        <f t="shared" si="76"/>
        <v>0</v>
      </c>
      <c r="AS37" s="52">
        <f t="shared" si="118"/>
        <v>0</v>
      </c>
      <c r="AT37" s="21">
        <f t="shared" si="119"/>
        <v>0</v>
      </c>
      <c r="AU37" s="21">
        <f t="shared" si="120"/>
        <v>0</v>
      </c>
      <c r="AV37" s="63">
        <f t="shared" si="121"/>
        <v>0</v>
      </c>
      <c r="AW37" s="182">
        <f t="shared" si="77"/>
        <v>0.38852979470856125</v>
      </c>
      <c r="AX37" s="52">
        <f t="shared" si="78"/>
        <v>0</v>
      </c>
      <c r="AY37" s="74">
        <f t="shared" si="79"/>
        <v>0</v>
      </c>
      <c r="AZ37" s="78">
        <f t="shared" si="80"/>
        <v>0</v>
      </c>
      <c r="BA37" s="87">
        <f t="shared" si="81"/>
        <v>0</v>
      </c>
      <c r="BB37" s="110">
        <f t="shared" si="82"/>
        <v>17871.758454157614</v>
      </c>
      <c r="BC37" s="69">
        <f t="shared" si="83"/>
        <v>13.403818840618211</v>
      </c>
      <c r="BD37" s="42">
        <f t="shared" si="84"/>
        <v>12928.9236132437</v>
      </c>
      <c r="BE37" s="79">
        <f t="shared" si="85"/>
        <v>9.6966927099327744</v>
      </c>
      <c r="BF37" s="117" t="e">
        <f t="shared" si="122"/>
        <v>#NUM!</v>
      </c>
      <c r="BG37" s="118" t="e">
        <f t="shared" si="123"/>
        <v>#NUM!</v>
      </c>
      <c r="BH37" s="117">
        <f t="shared" si="124"/>
        <v>3.9418515684774288E-4</v>
      </c>
      <c r="BI37" s="118">
        <f t="shared" si="125"/>
        <v>1.0542290881294061E-2</v>
      </c>
      <c r="BJ37" s="117">
        <f t="shared" si="126"/>
        <v>0</v>
      </c>
      <c r="BK37" s="118">
        <f t="shared" si="127"/>
        <v>0</v>
      </c>
      <c r="BL37" s="91">
        <f t="shared" si="128"/>
        <v>0</v>
      </c>
      <c r="BM37" s="93">
        <f t="shared" si="129"/>
        <v>0</v>
      </c>
      <c r="BN37" s="91">
        <f t="shared" si="130"/>
        <v>0</v>
      </c>
      <c r="BO37" s="93">
        <f t="shared" si="131"/>
        <v>0</v>
      </c>
      <c r="BP37" s="91">
        <f t="shared" si="132"/>
        <v>0</v>
      </c>
      <c r="BQ37" s="93">
        <f t="shared" si="133"/>
        <v>0</v>
      </c>
      <c r="BR37" s="91">
        <f t="shared" si="134"/>
        <v>0</v>
      </c>
      <c r="BS37" s="93">
        <f t="shared" si="135"/>
        <v>0</v>
      </c>
      <c r="BT37" s="188">
        <f t="shared" si="136"/>
        <v>0</v>
      </c>
      <c r="BU37" s="93">
        <f t="shared" si="137"/>
        <v>0</v>
      </c>
      <c r="BV37" s="117" t="e">
        <f t="shared" si="86"/>
        <v>#NUM!</v>
      </c>
      <c r="BW37" s="206" t="e">
        <f t="shared" si="87"/>
        <v>#NUM!</v>
      </c>
      <c r="BX37" s="206" t="e">
        <f t="shared" si="88"/>
        <v>#NUM!</v>
      </c>
      <c r="BY37" s="97" t="e">
        <f t="shared" si="89"/>
        <v>#NUM!</v>
      </c>
      <c r="BZ37" s="123" t="e">
        <f t="shared" si="90"/>
        <v>#NUM!</v>
      </c>
      <c r="CA37" s="91">
        <f t="shared" si="91"/>
        <v>2.2709058292984742E-3</v>
      </c>
      <c r="CB37" s="92">
        <f t="shared" si="138"/>
        <v>2.5000000000000001E-3</v>
      </c>
      <c r="CC37" s="92">
        <f t="shared" si="139"/>
        <v>0</v>
      </c>
      <c r="CD37" s="92">
        <f t="shared" si="140"/>
        <v>0</v>
      </c>
      <c r="CE37" s="92">
        <f t="shared" si="141"/>
        <v>0</v>
      </c>
      <c r="CF37" s="92">
        <f t="shared" si="142"/>
        <v>0</v>
      </c>
      <c r="CG37" s="92">
        <f t="shared" si="143"/>
        <v>0</v>
      </c>
      <c r="CH37" s="92">
        <f t="shared" si="144"/>
        <v>0</v>
      </c>
      <c r="CI37" s="127">
        <f t="shared" si="92"/>
        <v>4.7709058292984743E-3</v>
      </c>
      <c r="CJ37" s="91">
        <f t="shared" si="93"/>
        <v>1.6220755923560529E-4</v>
      </c>
      <c r="CK37" s="92">
        <f t="shared" si="145"/>
        <v>3.3750000000000002E-2</v>
      </c>
      <c r="CL37" s="92">
        <f t="shared" si="146"/>
        <v>8.1000000000000016E-2</v>
      </c>
      <c r="CM37" s="127">
        <f t="shared" si="94"/>
        <v>0.11491220755923562</v>
      </c>
      <c r="CN37" s="91">
        <f t="shared" si="147"/>
        <v>0.15</v>
      </c>
      <c r="CO37" s="92">
        <f t="shared" si="148"/>
        <v>0</v>
      </c>
      <c r="CP37" s="92">
        <f t="shared" si="149"/>
        <v>0</v>
      </c>
      <c r="CQ37" s="92">
        <f t="shared" si="150"/>
        <v>0</v>
      </c>
      <c r="CR37" s="92">
        <f t="shared" si="151"/>
        <v>0</v>
      </c>
      <c r="CS37" s="92">
        <f t="shared" si="152"/>
        <v>0</v>
      </c>
      <c r="CT37" s="92">
        <f t="shared" si="153"/>
        <v>0</v>
      </c>
      <c r="CU37" s="127">
        <f t="shared" si="154"/>
        <v>0.15</v>
      </c>
      <c r="CV37" s="231">
        <f t="shared" si="155"/>
        <v>3.4463583430069632E-2</v>
      </c>
      <c r="CW37" s="188">
        <f t="shared" si="156"/>
        <v>0.30414669681860373</v>
      </c>
      <c r="CX37" s="206">
        <f t="shared" si="157"/>
        <v>7.804146696818604</v>
      </c>
      <c r="CY37" s="231">
        <f t="shared" si="158"/>
        <v>0.96102755257758155</v>
      </c>
      <c r="CZ37">
        <f t="shared" si="159"/>
        <v>81.64</v>
      </c>
      <c r="DA37">
        <f t="shared" si="160"/>
        <v>828.76951298897359</v>
      </c>
      <c r="DD37" s="22">
        <v>7000</v>
      </c>
      <c r="DE37" s="22">
        <f t="shared" si="95"/>
        <v>43982.297150257102</v>
      </c>
      <c r="DF37" s="91">
        <f t="shared" si="96"/>
        <v>10.195174452182417</v>
      </c>
      <c r="DG37" s="93">
        <f t="shared" si="97"/>
        <v>-86.059541499427084</v>
      </c>
      <c r="DH37" s="91">
        <f t="shared" si="98"/>
        <v>-24.273957650033537</v>
      </c>
      <c r="DI37" s="92">
        <f t="shared" si="99"/>
        <v>145.10552859779852</v>
      </c>
      <c r="DJ37" s="92">
        <f t="shared" si="55"/>
        <v>-8.3894741192848414</v>
      </c>
      <c r="DK37" s="93">
        <f t="shared" si="100"/>
        <v>153.51043897767789</v>
      </c>
      <c r="DL37" s="91">
        <f t="shared" si="101"/>
        <v>-14.07878319785112</v>
      </c>
      <c r="DM37" s="92">
        <f t="shared" si="102"/>
        <v>59.045987098371441</v>
      </c>
      <c r="DN37" s="92">
        <f t="shared" si="103"/>
        <v>1.805700332897576</v>
      </c>
      <c r="DO37" s="93">
        <f t="shared" si="104"/>
        <v>67.450897478250809</v>
      </c>
    </row>
    <row r="38" spans="1:119" ht="15" x14ac:dyDescent="0.25">
      <c r="A38" t="s">
        <v>297</v>
      </c>
      <c r="B38" s="8">
        <f>VLOOKUP(ILrms_Total_Max_FB_DCM,R4:AV54,26,FALSE)</f>
        <v>0</v>
      </c>
      <c r="C38" s="12" t="s">
        <v>6</v>
      </c>
      <c r="K38" s="58">
        <v>34</v>
      </c>
      <c r="L38" s="131">
        <f t="shared" si="56"/>
        <v>42.72</v>
      </c>
      <c r="M38" s="130">
        <f t="shared" si="57"/>
        <v>0.175561797752809</v>
      </c>
      <c r="N38" s="132">
        <f t="shared" si="0"/>
        <v>0.3241386208664121</v>
      </c>
      <c r="O38" s="52">
        <f t="shared" si="58"/>
        <v>0.22920061685909535</v>
      </c>
      <c r="P38" s="21">
        <f t="shared" si="59"/>
        <v>0.54162567016401186</v>
      </c>
      <c r="Q38" s="19">
        <f t="shared" si="60"/>
        <v>1.0832513403280235</v>
      </c>
      <c r="R38" s="6">
        <f t="shared" si="105"/>
        <v>0.72404497294745052</v>
      </c>
      <c r="S38" s="55">
        <f t="shared" si="61"/>
        <v>0.35606886293349466</v>
      </c>
      <c r="T38" s="133">
        <f t="shared" si="62"/>
        <v>0.30977909923129676</v>
      </c>
      <c r="U38" s="54">
        <f t="shared" si="106"/>
        <v>0.34618004708532812</v>
      </c>
      <c r="V38" s="21">
        <f t="shared" si="107"/>
        <v>2.8886702408747298</v>
      </c>
      <c r="W38" s="21">
        <f t="shared" si="64"/>
        <v>0.9812696267038824</v>
      </c>
      <c r="X38" s="63">
        <f t="shared" si="65"/>
        <v>0.84432818281257005</v>
      </c>
      <c r="Y38" s="54">
        <f t="shared" si="108"/>
        <v>0</v>
      </c>
      <c r="Z38" s="21">
        <f t="shared" si="109"/>
        <v>0</v>
      </c>
      <c r="AA38" s="21">
        <f t="shared" si="66"/>
        <v>0</v>
      </c>
      <c r="AB38" s="63">
        <f t="shared" si="67"/>
        <v>0</v>
      </c>
      <c r="AC38" s="52">
        <f t="shared" si="110"/>
        <v>0</v>
      </c>
      <c r="AD38" s="21">
        <f t="shared" si="111"/>
        <v>0</v>
      </c>
      <c r="AE38" s="21">
        <f t="shared" si="68"/>
        <v>0</v>
      </c>
      <c r="AF38" s="63">
        <f t="shared" si="69"/>
        <v>0</v>
      </c>
      <c r="AG38" s="52">
        <f t="shared" si="112"/>
        <v>0</v>
      </c>
      <c r="AH38" s="21">
        <f t="shared" si="113"/>
        <v>0</v>
      </c>
      <c r="AI38" s="21">
        <f t="shared" si="70"/>
        <v>0</v>
      </c>
      <c r="AJ38" s="63">
        <f t="shared" si="71"/>
        <v>0</v>
      </c>
      <c r="AK38" s="52">
        <f t="shared" si="114"/>
        <v>0</v>
      </c>
      <c r="AL38" s="21">
        <f t="shared" si="115"/>
        <v>0</v>
      </c>
      <c r="AM38" s="21">
        <f t="shared" si="72"/>
        <v>0</v>
      </c>
      <c r="AN38" s="63">
        <f t="shared" si="73"/>
        <v>0</v>
      </c>
      <c r="AO38" s="52">
        <f t="shared" si="116"/>
        <v>0</v>
      </c>
      <c r="AP38" s="21">
        <f t="shared" si="117"/>
        <v>0</v>
      </c>
      <c r="AQ38" s="21">
        <f t="shared" si="75"/>
        <v>0</v>
      </c>
      <c r="AR38" s="181">
        <f t="shared" si="76"/>
        <v>0</v>
      </c>
      <c r="AS38" s="52">
        <f t="shared" si="118"/>
        <v>0</v>
      </c>
      <c r="AT38" s="21">
        <f t="shared" si="119"/>
        <v>0</v>
      </c>
      <c r="AU38" s="21">
        <f t="shared" si="120"/>
        <v>0</v>
      </c>
      <c r="AV38" s="63">
        <f t="shared" si="121"/>
        <v>0</v>
      </c>
      <c r="AW38" s="182">
        <f t="shared" si="77"/>
        <v>0.38852979470856125</v>
      </c>
      <c r="AX38" s="52">
        <f t="shared" si="78"/>
        <v>0</v>
      </c>
      <c r="AY38" s="74">
        <f t="shared" si="79"/>
        <v>0</v>
      </c>
      <c r="AZ38" s="78">
        <f t="shared" si="80"/>
        <v>0</v>
      </c>
      <c r="BA38" s="87">
        <f t="shared" si="81"/>
        <v>0</v>
      </c>
      <c r="BB38" s="110">
        <f t="shared" si="82"/>
        <v>17871.758454157614</v>
      </c>
      <c r="BC38" s="69">
        <f t="shared" si="83"/>
        <v>13.403818840618211</v>
      </c>
      <c r="BD38" s="42">
        <f t="shared" si="84"/>
        <v>12928.9236132437</v>
      </c>
      <c r="BE38" s="79">
        <f t="shared" si="85"/>
        <v>9.6966927099327744</v>
      </c>
      <c r="BF38" s="117" t="e">
        <f t="shared" si="122"/>
        <v>#NUM!</v>
      </c>
      <c r="BG38" s="118" t="e">
        <f t="shared" si="123"/>
        <v>#NUM!</v>
      </c>
      <c r="BH38" s="117">
        <f t="shared" si="124"/>
        <v>3.9418515684774288E-4</v>
      </c>
      <c r="BI38" s="118">
        <f t="shared" si="125"/>
        <v>1.0542290881294061E-2</v>
      </c>
      <c r="BJ38" s="117">
        <f t="shared" si="126"/>
        <v>0</v>
      </c>
      <c r="BK38" s="118">
        <f t="shared" si="127"/>
        <v>0</v>
      </c>
      <c r="BL38" s="91">
        <f t="shared" si="128"/>
        <v>0</v>
      </c>
      <c r="BM38" s="93">
        <f t="shared" si="129"/>
        <v>0</v>
      </c>
      <c r="BN38" s="91">
        <f t="shared" si="130"/>
        <v>0</v>
      </c>
      <c r="BO38" s="93">
        <f t="shared" si="131"/>
        <v>0</v>
      </c>
      <c r="BP38" s="91">
        <f t="shared" si="132"/>
        <v>0</v>
      </c>
      <c r="BQ38" s="93">
        <f t="shared" si="133"/>
        <v>0</v>
      </c>
      <c r="BR38" s="91">
        <f t="shared" si="134"/>
        <v>0</v>
      </c>
      <c r="BS38" s="93">
        <f t="shared" si="135"/>
        <v>0</v>
      </c>
      <c r="BT38" s="188">
        <f t="shared" si="136"/>
        <v>0</v>
      </c>
      <c r="BU38" s="93">
        <f t="shared" si="137"/>
        <v>0</v>
      </c>
      <c r="BV38" s="117" t="e">
        <f t="shared" si="86"/>
        <v>#NUM!</v>
      </c>
      <c r="BW38" s="206" t="e">
        <f t="shared" si="87"/>
        <v>#NUM!</v>
      </c>
      <c r="BX38" s="206" t="e">
        <f t="shared" si="88"/>
        <v>#NUM!</v>
      </c>
      <c r="BY38" s="97" t="e">
        <f t="shared" si="89"/>
        <v>#NUM!</v>
      </c>
      <c r="BZ38" s="123" t="e">
        <f t="shared" si="90"/>
        <v>#NUM!</v>
      </c>
      <c r="CA38" s="91">
        <f t="shared" si="91"/>
        <v>2.1575361381138752E-3</v>
      </c>
      <c r="CB38" s="92">
        <f t="shared" si="138"/>
        <v>2.5000000000000001E-3</v>
      </c>
      <c r="CC38" s="92">
        <f t="shared" si="139"/>
        <v>0</v>
      </c>
      <c r="CD38" s="92">
        <f t="shared" si="140"/>
        <v>0</v>
      </c>
      <c r="CE38" s="92">
        <f t="shared" si="141"/>
        <v>0</v>
      </c>
      <c r="CF38" s="92">
        <f t="shared" si="142"/>
        <v>0</v>
      </c>
      <c r="CG38" s="92">
        <f t="shared" si="143"/>
        <v>0</v>
      </c>
      <c r="CH38" s="92">
        <f t="shared" si="144"/>
        <v>0</v>
      </c>
      <c r="CI38" s="127">
        <f t="shared" si="92"/>
        <v>4.6575361381138748E-3</v>
      </c>
      <c r="CJ38" s="91">
        <f t="shared" si="93"/>
        <v>1.5410972415099105E-4</v>
      </c>
      <c r="CK38" s="92">
        <f t="shared" si="145"/>
        <v>3.3750000000000002E-2</v>
      </c>
      <c r="CL38" s="92">
        <f t="shared" si="146"/>
        <v>8.1000000000000016E-2</v>
      </c>
      <c r="CM38" s="127">
        <f t="shared" si="94"/>
        <v>0.11490410972415101</v>
      </c>
      <c r="CN38" s="91">
        <f t="shared" si="147"/>
        <v>0.15</v>
      </c>
      <c r="CO38" s="92">
        <f t="shared" si="148"/>
        <v>0</v>
      </c>
      <c r="CP38" s="92">
        <f t="shared" si="149"/>
        <v>0</v>
      </c>
      <c r="CQ38" s="92">
        <f t="shared" si="150"/>
        <v>0</v>
      </c>
      <c r="CR38" s="92">
        <f t="shared" si="151"/>
        <v>0</v>
      </c>
      <c r="CS38" s="92">
        <f t="shared" si="152"/>
        <v>0</v>
      </c>
      <c r="CT38" s="92">
        <f t="shared" si="153"/>
        <v>0</v>
      </c>
      <c r="CU38" s="127">
        <f t="shared" si="154"/>
        <v>0.15</v>
      </c>
      <c r="CV38" s="231">
        <f t="shared" si="155"/>
        <v>3.420133956694129E-2</v>
      </c>
      <c r="CW38" s="188">
        <f t="shared" si="156"/>
        <v>0.30376298542920616</v>
      </c>
      <c r="CX38" s="206">
        <f t="shared" si="157"/>
        <v>7.8037629854292065</v>
      </c>
      <c r="CY38" s="231">
        <f t="shared" si="158"/>
        <v>0.96107480634709463</v>
      </c>
      <c r="CZ38">
        <f t="shared" si="159"/>
        <v>82.72</v>
      </c>
      <c r="DA38">
        <f t="shared" si="160"/>
        <v>829.84951298897352</v>
      </c>
      <c r="DD38" s="22">
        <v>8000</v>
      </c>
      <c r="DE38" s="22">
        <f t="shared" si="95"/>
        <v>50265.482457436687</v>
      </c>
      <c r="DF38" s="91">
        <f t="shared" si="96"/>
        <v>9.0398038762785777</v>
      </c>
      <c r="DG38" s="93">
        <f t="shared" si="97"/>
        <v>-85.676790320312321</v>
      </c>
      <c r="DH38" s="91">
        <f t="shared" si="98"/>
        <v>-24.593478235900413</v>
      </c>
      <c r="DI38" s="92">
        <f t="shared" si="99"/>
        <v>142.39555549549374</v>
      </c>
      <c r="DJ38" s="92">
        <f t="shared" si="55"/>
        <v>-8.612823553070811</v>
      </c>
      <c r="DK38" s="93">
        <f t="shared" si="100"/>
        <v>150.75660311823046</v>
      </c>
      <c r="DL38" s="91">
        <f t="shared" si="101"/>
        <v>-15.553674359621835</v>
      </c>
      <c r="DM38" s="92">
        <f t="shared" si="102"/>
        <v>56.718765175181417</v>
      </c>
      <c r="DN38" s="92">
        <f t="shared" si="103"/>
        <v>0.42698032320776669</v>
      </c>
      <c r="DO38" s="93">
        <f t="shared" si="104"/>
        <v>65.079812797918137</v>
      </c>
    </row>
    <row r="39" spans="1:119" ht="15" x14ac:dyDescent="0.25">
      <c r="A39" t="s">
        <v>409</v>
      </c>
      <c r="B39" s="8">
        <f>VLOOKUP(ILrms_Total_Max_FB_DCM,R4:AV54,30,FALSE)</f>
        <v>0</v>
      </c>
      <c r="C39" s="185" t="s">
        <v>6</v>
      </c>
      <c r="K39" s="58">
        <v>35</v>
      </c>
      <c r="L39" s="131">
        <f t="shared" si="56"/>
        <v>43.800000000000004</v>
      </c>
      <c r="M39" s="130">
        <f t="shared" si="57"/>
        <v>0.17123287671232873</v>
      </c>
      <c r="N39" s="132">
        <f t="shared" si="0"/>
        <v>0.31614616172176085</v>
      </c>
      <c r="O39" s="52">
        <f t="shared" si="58"/>
        <v>0.22354909479955601</v>
      </c>
      <c r="P39" s="21">
        <f t="shared" si="59"/>
        <v>0.54162567016401164</v>
      </c>
      <c r="Q39" s="19">
        <f t="shared" si="60"/>
        <v>1.0832513403280237</v>
      </c>
      <c r="R39" s="6">
        <f t="shared" si="105"/>
        <v>0.71962768302987312</v>
      </c>
      <c r="S39" s="55">
        <f t="shared" si="61"/>
        <v>0.35165157301591721</v>
      </c>
      <c r="T39" s="133">
        <f t="shared" si="62"/>
        <v>0.30714512976342206</v>
      </c>
      <c r="U39" s="54">
        <f t="shared" si="106"/>
        <v>0.34618004708532812</v>
      </c>
      <c r="V39" s="21">
        <f t="shared" si="107"/>
        <v>2.8886702408747298</v>
      </c>
      <c r="W39" s="21">
        <f t="shared" si="64"/>
        <v>0.9812696267038824</v>
      </c>
      <c r="X39" s="63">
        <f t="shared" si="65"/>
        <v>0.84432818281257005</v>
      </c>
      <c r="Y39" s="54">
        <f t="shared" si="108"/>
        <v>0</v>
      </c>
      <c r="Z39" s="21">
        <f t="shared" si="109"/>
        <v>0</v>
      </c>
      <c r="AA39" s="21">
        <f t="shared" si="66"/>
        <v>0</v>
      </c>
      <c r="AB39" s="63">
        <f t="shared" si="67"/>
        <v>0</v>
      </c>
      <c r="AC39" s="52">
        <f t="shared" si="110"/>
        <v>0</v>
      </c>
      <c r="AD39" s="21">
        <f t="shared" si="111"/>
        <v>0</v>
      </c>
      <c r="AE39" s="21">
        <f t="shared" si="68"/>
        <v>0</v>
      </c>
      <c r="AF39" s="63">
        <f t="shared" si="69"/>
        <v>0</v>
      </c>
      <c r="AG39" s="52">
        <f t="shared" si="112"/>
        <v>0</v>
      </c>
      <c r="AH39" s="21">
        <f t="shared" si="113"/>
        <v>0</v>
      </c>
      <c r="AI39" s="21">
        <f t="shared" si="70"/>
        <v>0</v>
      </c>
      <c r="AJ39" s="63">
        <f t="shared" si="71"/>
        <v>0</v>
      </c>
      <c r="AK39" s="52">
        <f t="shared" si="114"/>
        <v>0</v>
      </c>
      <c r="AL39" s="21">
        <f t="shared" si="115"/>
        <v>0</v>
      </c>
      <c r="AM39" s="21">
        <f t="shared" si="72"/>
        <v>0</v>
      </c>
      <c r="AN39" s="63">
        <f t="shared" si="73"/>
        <v>0</v>
      </c>
      <c r="AO39" s="52">
        <f t="shared" si="116"/>
        <v>0</v>
      </c>
      <c r="AP39" s="21">
        <f t="shared" si="117"/>
        <v>0</v>
      </c>
      <c r="AQ39" s="21">
        <f t="shared" si="75"/>
        <v>0</v>
      </c>
      <c r="AR39" s="181">
        <f t="shared" si="76"/>
        <v>0</v>
      </c>
      <c r="AS39" s="52">
        <f t="shared" si="118"/>
        <v>0</v>
      </c>
      <c r="AT39" s="21">
        <f t="shared" si="119"/>
        <v>0</v>
      </c>
      <c r="AU39" s="21">
        <f t="shared" si="120"/>
        <v>0</v>
      </c>
      <c r="AV39" s="63">
        <f t="shared" si="121"/>
        <v>0</v>
      </c>
      <c r="AW39" s="182">
        <f t="shared" si="77"/>
        <v>0.3885297947085613</v>
      </c>
      <c r="AX39" s="52">
        <f t="shared" si="78"/>
        <v>0</v>
      </c>
      <c r="AY39" s="74">
        <f t="shared" si="79"/>
        <v>0</v>
      </c>
      <c r="AZ39" s="78">
        <f t="shared" si="80"/>
        <v>0</v>
      </c>
      <c r="BA39" s="87">
        <f t="shared" si="81"/>
        <v>0</v>
      </c>
      <c r="BB39" s="110">
        <f t="shared" si="82"/>
        <v>17871.758454157622</v>
      </c>
      <c r="BC39" s="69">
        <f t="shared" si="83"/>
        <v>13.403818840618216</v>
      </c>
      <c r="BD39" s="42">
        <f t="shared" si="84"/>
        <v>12928.923613243705</v>
      </c>
      <c r="BE39" s="79">
        <f t="shared" si="85"/>
        <v>9.696692709932778</v>
      </c>
      <c r="BF39" s="117" t="e">
        <f t="shared" si="122"/>
        <v>#NUM!</v>
      </c>
      <c r="BG39" s="118" t="e">
        <f t="shared" si="123"/>
        <v>#NUM!</v>
      </c>
      <c r="BH39" s="117">
        <f t="shared" si="124"/>
        <v>3.9418515684774288E-4</v>
      </c>
      <c r="BI39" s="118">
        <f t="shared" si="125"/>
        <v>1.0542290881294061E-2</v>
      </c>
      <c r="BJ39" s="117">
        <f t="shared" si="126"/>
        <v>0</v>
      </c>
      <c r="BK39" s="118">
        <f t="shared" si="127"/>
        <v>0</v>
      </c>
      <c r="BL39" s="91">
        <f t="shared" si="128"/>
        <v>0</v>
      </c>
      <c r="BM39" s="93">
        <f t="shared" si="129"/>
        <v>0</v>
      </c>
      <c r="BN39" s="91">
        <f t="shared" si="130"/>
        <v>0</v>
      </c>
      <c r="BO39" s="93">
        <f t="shared" si="131"/>
        <v>0</v>
      </c>
      <c r="BP39" s="91">
        <f t="shared" si="132"/>
        <v>0</v>
      </c>
      <c r="BQ39" s="93">
        <f t="shared" si="133"/>
        <v>0</v>
      </c>
      <c r="BR39" s="91">
        <f t="shared" si="134"/>
        <v>0</v>
      </c>
      <c r="BS39" s="93">
        <f t="shared" si="135"/>
        <v>0</v>
      </c>
      <c r="BT39" s="188">
        <f t="shared" si="136"/>
        <v>0</v>
      </c>
      <c r="BU39" s="93">
        <f t="shared" si="137"/>
        <v>0</v>
      </c>
      <c r="BV39" s="117" t="e">
        <f t="shared" si="86"/>
        <v>#NUM!</v>
      </c>
      <c r="BW39" s="206" t="e">
        <f t="shared" si="87"/>
        <v>#NUM!</v>
      </c>
      <c r="BX39" s="206" t="e">
        <f t="shared" si="88"/>
        <v>#NUM!</v>
      </c>
      <c r="BY39" s="97" t="e">
        <f t="shared" si="89"/>
        <v>#NUM!</v>
      </c>
      <c r="BZ39" s="123" t="e">
        <f t="shared" si="90"/>
        <v>#NUM!</v>
      </c>
      <c r="CA39" s="91">
        <f t="shared" si="91"/>
        <v>2.0524488647025701E-3</v>
      </c>
      <c r="CB39" s="92">
        <f t="shared" si="138"/>
        <v>2.5000000000000001E-3</v>
      </c>
      <c r="CC39" s="92">
        <f t="shared" si="139"/>
        <v>0</v>
      </c>
      <c r="CD39" s="92">
        <f t="shared" si="140"/>
        <v>0</v>
      </c>
      <c r="CE39" s="92">
        <f t="shared" si="141"/>
        <v>0</v>
      </c>
      <c r="CF39" s="92">
        <f t="shared" si="142"/>
        <v>0</v>
      </c>
      <c r="CG39" s="92">
        <f t="shared" si="143"/>
        <v>0</v>
      </c>
      <c r="CH39" s="92">
        <f t="shared" si="144"/>
        <v>0</v>
      </c>
      <c r="CI39" s="127">
        <f t="shared" si="92"/>
        <v>4.5524488647025706E-3</v>
      </c>
      <c r="CJ39" s="91">
        <f t="shared" si="93"/>
        <v>1.4660349033589787E-4</v>
      </c>
      <c r="CK39" s="92">
        <f t="shared" si="145"/>
        <v>3.3749999999999995E-2</v>
      </c>
      <c r="CL39" s="92">
        <f t="shared" si="146"/>
        <v>8.1000000000000016E-2</v>
      </c>
      <c r="CM39" s="127">
        <f t="shared" si="94"/>
        <v>0.11489660349033591</v>
      </c>
      <c r="CN39" s="91">
        <f t="shared" si="147"/>
        <v>0.15</v>
      </c>
      <c r="CO39" s="92">
        <f t="shared" si="148"/>
        <v>0</v>
      </c>
      <c r="CP39" s="92">
        <f t="shared" si="149"/>
        <v>0</v>
      </c>
      <c r="CQ39" s="92">
        <f t="shared" si="150"/>
        <v>0</v>
      </c>
      <c r="CR39" s="92">
        <f t="shared" si="151"/>
        <v>0</v>
      </c>
      <c r="CS39" s="92">
        <f t="shared" si="152"/>
        <v>0</v>
      </c>
      <c r="CT39" s="92">
        <f t="shared" si="153"/>
        <v>0</v>
      </c>
      <c r="CU39" s="127">
        <f t="shared" si="154"/>
        <v>0.15</v>
      </c>
      <c r="CV39" s="231">
        <f t="shared" si="155"/>
        <v>3.3933207484017167E-2</v>
      </c>
      <c r="CW39" s="188">
        <f t="shared" si="156"/>
        <v>0.30338225983905565</v>
      </c>
      <c r="CX39" s="206">
        <f t="shared" si="157"/>
        <v>7.8033822598390561</v>
      </c>
      <c r="CY39" s="231">
        <f t="shared" si="158"/>
        <v>0.9611216970107378</v>
      </c>
      <c r="CZ39">
        <f t="shared" si="159"/>
        <v>83.800000000000011</v>
      </c>
      <c r="DA39">
        <f t="shared" si="160"/>
        <v>830.92951298897356</v>
      </c>
      <c r="DD39" s="22">
        <v>9000</v>
      </c>
      <c r="DE39" s="22">
        <f t="shared" si="95"/>
        <v>56548.667764616279</v>
      </c>
      <c r="DF39" s="91">
        <f t="shared" si="96"/>
        <v>8.021750412153656</v>
      </c>
      <c r="DG39" s="93">
        <f t="shared" si="97"/>
        <v>-85.275981419275027</v>
      </c>
      <c r="DH39" s="91">
        <f t="shared" si="98"/>
        <v>-24.926639043551077</v>
      </c>
      <c r="DI39" s="92">
        <f t="shared" si="99"/>
        <v>139.77627575533387</v>
      </c>
      <c r="DJ39" s="92">
        <f t="shared" si="55"/>
        <v>-8.8523725684617922</v>
      </c>
      <c r="DK39" s="93">
        <f t="shared" si="100"/>
        <v>148.10186825436483</v>
      </c>
      <c r="DL39" s="91">
        <f t="shared" si="101"/>
        <v>-16.904888631397419</v>
      </c>
      <c r="DM39" s="92">
        <f t="shared" si="102"/>
        <v>54.500294336058843</v>
      </c>
      <c r="DN39" s="92">
        <f t="shared" si="103"/>
        <v>-0.83062215630813618</v>
      </c>
      <c r="DO39" s="93">
        <f t="shared" si="104"/>
        <v>62.825886835089804</v>
      </c>
    </row>
    <row r="40" spans="1:119" ht="15" x14ac:dyDescent="0.25">
      <c r="A40" s="112" t="s">
        <v>385</v>
      </c>
      <c r="B40" s="112"/>
      <c r="E40" s="1"/>
      <c r="F40" s="1"/>
      <c r="G40" s="1"/>
      <c r="H40" s="1"/>
      <c r="K40" s="58">
        <v>36</v>
      </c>
      <c r="L40" s="131">
        <f t="shared" si="56"/>
        <v>44.88</v>
      </c>
      <c r="M40" s="130">
        <f t="shared" si="57"/>
        <v>0.16711229946524064</v>
      </c>
      <c r="N40" s="132">
        <f t="shared" si="0"/>
        <v>0.30853836638621041</v>
      </c>
      <c r="O40" s="52">
        <f t="shared" si="58"/>
        <v>0.21816957112790891</v>
      </c>
      <c r="P40" s="21">
        <f t="shared" si="59"/>
        <v>0.54162567016401186</v>
      </c>
      <c r="Q40" s="19">
        <f t="shared" si="60"/>
        <v>1.0832513403280235</v>
      </c>
      <c r="R40" s="6">
        <f t="shared" si="105"/>
        <v>0.71537081577002615</v>
      </c>
      <c r="S40" s="55">
        <f t="shared" si="61"/>
        <v>0.34739470575607023</v>
      </c>
      <c r="T40" s="133">
        <f t="shared" si="62"/>
        <v>0.30455961806317389</v>
      </c>
      <c r="U40" s="54">
        <f t="shared" si="106"/>
        <v>0.34618004708532812</v>
      </c>
      <c r="V40" s="21">
        <f t="shared" si="107"/>
        <v>2.8886702408747298</v>
      </c>
      <c r="W40" s="21">
        <f t="shared" si="64"/>
        <v>0.9812696267038824</v>
      </c>
      <c r="X40" s="63">
        <f t="shared" si="65"/>
        <v>0.84432818281257005</v>
      </c>
      <c r="Y40" s="54">
        <f t="shared" si="108"/>
        <v>0</v>
      </c>
      <c r="Z40" s="21">
        <f t="shared" si="109"/>
        <v>0</v>
      </c>
      <c r="AA40" s="21">
        <f t="shared" si="66"/>
        <v>0</v>
      </c>
      <c r="AB40" s="63">
        <f t="shared" si="67"/>
        <v>0</v>
      </c>
      <c r="AC40" s="52">
        <f t="shared" si="110"/>
        <v>0</v>
      </c>
      <c r="AD40" s="21">
        <f t="shared" si="111"/>
        <v>0</v>
      </c>
      <c r="AE40" s="21">
        <f t="shared" si="68"/>
        <v>0</v>
      </c>
      <c r="AF40" s="63">
        <f t="shared" si="69"/>
        <v>0</v>
      </c>
      <c r="AG40" s="52">
        <f t="shared" si="112"/>
        <v>0</v>
      </c>
      <c r="AH40" s="21">
        <f t="shared" si="113"/>
        <v>0</v>
      </c>
      <c r="AI40" s="21">
        <f t="shared" si="70"/>
        <v>0</v>
      </c>
      <c r="AJ40" s="63">
        <f t="shared" si="71"/>
        <v>0</v>
      </c>
      <c r="AK40" s="52">
        <f t="shared" si="114"/>
        <v>0</v>
      </c>
      <c r="AL40" s="21">
        <f t="shared" si="115"/>
        <v>0</v>
      </c>
      <c r="AM40" s="21">
        <f t="shared" si="72"/>
        <v>0</v>
      </c>
      <c r="AN40" s="63">
        <f t="shared" si="73"/>
        <v>0</v>
      </c>
      <c r="AO40" s="52">
        <f t="shared" si="116"/>
        <v>0</v>
      </c>
      <c r="AP40" s="21">
        <f t="shared" si="117"/>
        <v>0</v>
      </c>
      <c r="AQ40" s="21">
        <f t="shared" si="75"/>
        <v>0</v>
      </c>
      <c r="AR40" s="181">
        <f t="shared" si="76"/>
        <v>0</v>
      </c>
      <c r="AS40" s="52">
        <f t="shared" si="118"/>
        <v>0</v>
      </c>
      <c r="AT40" s="21">
        <f t="shared" si="119"/>
        <v>0</v>
      </c>
      <c r="AU40" s="21">
        <f t="shared" si="120"/>
        <v>0</v>
      </c>
      <c r="AV40" s="63">
        <f t="shared" si="121"/>
        <v>0</v>
      </c>
      <c r="AW40" s="182">
        <f t="shared" si="77"/>
        <v>0.38852979470856125</v>
      </c>
      <c r="AX40" s="52">
        <f t="shared" si="78"/>
        <v>0</v>
      </c>
      <c r="AY40" s="74">
        <f t="shared" si="79"/>
        <v>0</v>
      </c>
      <c r="AZ40" s="78">
        <f t="shared" si="80"/>
        <v>0</v>
      </c>
      <c r="BA40" s="87">
        <f t="shared" si="81"/>
        <v>0</v>
      </c>
      <c r="BB40" s="110">
        <f t="shared" si="82"/>
        <v>17871.758454157614</v>
      </c>
      <c r="BC40" s="69">
        <f t="shared" si="83"/>
        <v>13.403818840618211</v>
      </c>
      <c r="BD40" s="42">
        <f t="shared" si="84"/>
        <v>12928.9236132437</v>
      </c>
      <c r="BE40" s="79">
        <f t="shared" si="85"/>
        <v>9.6966927099327744</v>
      </c>
      <c r="BF40" s="117" t="e">
        <f t="shared" si="122"/>
        <v>#NUM!</v>
      </c>
      <c r="BG40" s="118" t="e">
        <f t="shared" si="123"/>
        <v>#NUM!</v>
      </c>
      <c r="BH40" s="117">
        <f t="shared" si="124"/>
        <v>3.9418515684774288E-4</v>
      </c>
      <c r="BI40" s="118">
        <f t="shared" si="125"/>
        <v>1.0542290881294061E-2</v>
      </c>
      <c r="BJ40" s="117">
        <f t="shared" si="126"/>
        <v>0</v>
      </c>
      <c r="BK40" s="118">
        <f t="shared" si="127"/>
        <v>0</v>
      </c>
      <c r="BL40" s="91">
        <f t="shared" si="128"/>
        <v>0</v>
      </c>
      <c r="BM40" s="93">
        <f t="shared" si="129"/>
        <v>0</v>
      </c>
      <c r="BN40" s="91">
        <f t="shared" si="130"/>
        <v>0</v>
      </c>
      <c r="BO40" s="93">
        <f t="shared" si="131"/>
        <v>0</v>
      </c>
      <c r="BP40" s="91">
        <f t="shared" si="132"/>
        <v>0</v>
      </c>
      <c r="BQ40" s="93">
        <f t="shared" si="133"/>
        <v>0</v>
      </c>
      <c r="BR40" s="91">
        <f t="shared" si="134"/>
        <v>0</v>
      </c>
      <c r="BS40" s="93">
        <f t="shared" si="135"/>
        <v>0</v>
      </c>
      <c r="BT40" s="188">
        <f t="shared" si="136"/>
        <v>0</v>
      </c>
      <c r="BU40" s="93">
        <f t="shared" si="137"/>
        <v>0</v>
      </c>
      <c r="BV40" s="117" t="e">
        <f t="shared" si="86"/>
        <v>#NUM!</v>
      </c>
      <c r="BW40" s="206" t="e">
        <f t="shared" si="87"/>
        <v>#NUM!</v>
      </c>
      <c r="BX40" s="206" t="e">
        <f t="shared" si="88"/>
        <v>#NUM!</v>
      </c>
      <c r="BY40" s="97" t="e">
        <f t="shared" si="89"/>
        <v>#NUM!</v>
      </c>
      <c r="BZ40" s="123" t="e">
        <f t="shared" si="90"/>
        <v>#NUM!</v>
      </c>
      <c r="CA40" s="91">
        <f t="shared" si="91"/>
        <v>1.9548564442792189E-3</v>
      </c>
      <c r="CB40" s="92">
        <f t="shared" si="138"/>
        <v>2.5000000000000001E-3</v>
      </c>
      <c r="CC40" s="92">
        <f t="shared" si="139"/>
        <v>0</v>
      </c>
      <c r="CD40" s="92">
        <f t="shared" si="140"/>
        <v>0</v>
      </c>
      <c r="CE40" s="92">
        <f t="shared" si="141"/>
        <v>0</v>
      </c>
      <c r="CF40" s="92">
        <f t="shared" si="142"/>
        <v>0</v>
      </c>
      <c r="CG40" s="92">
        <f t="shared" si="143"/>
        <v>0</v>
      </c>
      <c r="CH40" s="92">
        <f t="shared" si="144"/>
        <v>0</v>
      </c>
      <c r="CI40" s="127">
        <f t="shared" si="92"/>
        <v>4.4548564442792194E-3</v>
      </c>
      <c r="CJ40" s="91">
        <f t="shared" si="93"/>
        <v>1.3963260316280136E-4</v>
      </c>
      <c r="CK40" s="92">
        <f t="shared" si="145"/>
        <v>3.3750000000000009E-2</v>
      </c>
      <c r="CL40" s="92">
        <f t="shared" si="146"/>
        <v>8.1000000000000016E-2</v>
      </c>
      <c r="CM40" s="127">
        <f t="shared" si="94"/>
        <v>0.11488963260316282</v>
      </c>
      <c r="CN40" s="91">
        <f t="shared" si="147"/>
        <v>0.15</v>
      </c>
      <c r="CO40" s="92">
        <f t="shared" si="148"/>
        <v>0</v>
      </c>
      <c r="CP40" s="92">
        <f t="shared" si="149"/>
        <v>0</v>
      </c>
      <c r="CQ40" s="92">
        <f t="shared" si="150"/>
        <v>0</v>
      </c>
      <c r="CR40" s="92">
        <f t="shared" si="151"/>
        <v>0</v>
      </c>
      <c r="CS40" s="92">
        <f t="shared" si="152"/>
        <v>0</v>
      </c>
      <c r="CT40" s="92">
        <f t="shared" si="153"/>
        <v>0</v>
      </c>
      <c r="CU40" s="127">
        <f t="shared" si="154"/>
        <v>0.15</v>
      </c>
      <c r="CV40" s="231">
        <f t="shared" si="155"/>
        <v>3.3658986615357982E-2</v>
      </c>
      <c r="CW40" s="188">
        <f t="shared" si="156"/>
        <v>0.3030034756628</v>
      </c>
      <c r="CX40" s="206">
        <f t="shared" si="157"/>
        <v>7.8030034756628002</v>
      </c>
      <c r="CY40" s="231">
        <f t="shared" si="158"/>
        <v>0.96116835310815207</v>
      </c>
      <c r="CZ40">
        <f t="shared" si="159"/>
        <v>84.88</v>
      </c>
      <c r="DA40">
        <f t="shared" si="160"/>
        <v>832.00951298897348</v>
      </c>
      <c r="DD40" s="22">
        <v>10000</v>
      </c>
      <c r="DE40" s="22">
        <f t="shared" si="95"/>
        <v>62831.853071795864</v>
      </c>
      <c r="DF40" s="91">
        <f t="shared" si="96"/>
        <v>7.1121407589304741</v>
      </c>
      <c r="DG40" s="93">
        <f t="shared" si="97"/>
        <v>-84.862740774033441</v>
      </c>
      <c r="DH40" s="91">
        <f t="shared" si="98"/>
        <v>-25.26953728796024</v>
      </c>
      <c r="DI40" s="92">
        <f t="shared" si="99"/>
        <v>137.2844865520708</v>
      </c>
      <c r="DJ40" s="92">
        <f t="shared" si="55"/>
        <v>-9.1050926120516706</v>
      </c>
      <c r="DK40" s="93">
        <f t="shared" si="100"/>
        <v>145.56443299502766</v>
      </c>
      <c r="DL40" s="91">
        <f t="shared" si="101"/>
        <v>-18.157396529029768</v>
      </c>
      <c r="DM40" s="92">
        <f t="shared" si="102"/>
        <v>52.421745778037362</v>
      </c>
      <c r="DN40" s="92">
        <f t="shared" si="103"/>
        <v>-1.9929518531211965</v>
      </c>
      <c r="DO40" s="93">
        <f t="shared" si="104"/>
        <v>60.701692220994218</v>
      </c>
    </row>
    <row r="41" spans="1:119" ht="15" x14ac:dyDescent="0.25">
      <c r="A41" s="12" t="s">
        <v>386</v>
      </c>
      <c r="B41" s="19">
        <f>IF(AND(Vout1&lt;&gt;0,Iout1&lt;&gt;0,Vout1_Ripple&lt;&gt;0),(Iout1*B7)/(Fsw*Vout1_Ripple*(10^-3)),0)</f>
        <v>7.6928899352295143E-5</v>
      </c>
      <c r="C41" s="12" t="s">
        <v>343</v>
      </c>
      <c r="K41" s="58">
        <v>37</v>
      </c>
      <c r="L41" s="131">
        <f t="shared" si="56"/>
        <v>45.96</v>
      </c>
      <c r="M41" s="130">
        <f t="shared" si="57"/>
        <v>0.16318537859007834</v>
      </c>
      <c r="N41" s="132">
        <f t="shared" si="0"/>
        <v>0.30128811756773549</v>
      </c>
      <c r="O41" s="52">
        <f t="shared" si="58"/>
        <v>0.21304287102307556</v>
      </c>
      <c r="P41" s="21">
        <f t="shared" si="59"/>
        <v>0.54162567016401186</v>
      </c>
      <c r="Q41" s="19">
        <f t="shared" si="60"/>
        <v>1.0832513403280235</v>
      </c>
      <c r="R41" s="6">
        <f t="shared" si="105"/>
        <v>0.71126489037206619</v>
      </c>
      <c r="S41" s="55">
        <f t="shared" si="61"/>
        <v>0.34328878035811022</v>
      </c>
      <c r="T41" s="133">
        <f t="shared" si="62"/>
        <v>0.3020227126130941</v>
      </c>
      <c r="U41" s="54">
        <f t="shared" si="106"/>
        <v>0.34618004708532812</v>
      </c>
      <c r="V41" s="21">
        <f t="shared" si="107"/>
        <v>2.8886702408747298</v>
      </c>
      <c r="W41" s="21">
        <f t="shared" si="64"/>
        <v>0.9812696267038824</v>
      </c>
      <c r="X41" s="63">
        <f t="shared" si="65"/>
        <v>0.84432818281257005</v>
      </c>
      <c r="Y41" s="54">
        <f t="shared" si="108"/>
        <v>0</v>
      </c>
      <c r="Z41" s="21">
        <f t="shared" si="109"/>
        <v>0</v>
      </c>
      <c r="AA41" s="21">
        <f t="shared" si="66"/>
        <v>0</v>
      </c>
      <c r="AB41" s="63">
        <f t="shared" si="67"/>
        <v>0</v>
      </c>
      <c r="AC41" s="52">
        <f t="shared" si="110"/>
        <v>0</v>
      </c>
      <c r="AD41" s="21">
        <f t="shared" si="111"/>
        <v>0</v>
      </c>
      <c r="AE41" s="21">
        <f t="shared" si="68"/>
        <v>0</v>
      </c>
      <c r="AF41" s="63">
        <f t="shared" si="69"/>
        <v>0</v>
      </c>
      <c r="AG41" s="52">
        <f t="shared" si="112"/>
        <v>0</v>
      </c>
      <c r="AH41" s="21">
        <f t="shared" si="113"/>
        <v>0</v>
      </c>
      <c r="AI41" s="21">
        <f t="shared" si="70"/>
        <v>0</v>
      </c>
      <c r="AJ41" s="63">
        <f t="shared" si="71"/>
        <v>0</v>
      </c>
      <c r="AK41" s="52">
        <f t="shared" si="114"/>
        <v>0</v>
      </c>
      <c r="AL41" s="21">
        <f t="shared" si="115"/>
        <v>0</v>
      </c>
      <c r="AM41" s="21">
        <f t="shared" si="72"/>
        <v>0</v>
      </c>
      <c r="AN41" s="63">
        <f t="shared" si="73"/>
        <v>0</v>
      </c>
      <c r="AO41" s="52">
        <f t="shared" si="116"/>
        <v>0</v>
      </c>
      <c r="AP41" s="21">
        <f t="shared" si="117"/>
        <v>0</v>
      </c>
      <c r="AQ41" s="21">
        <f t="shared" si="75"/>
        <v>0</v>
      </c>
      <c r="AR41" s="181">
        <f t="shared" si="76"/>
        <v>0</v>
      </c>
      <c r="AS41" s="52">
        <f t="shared" si="118"/>
        <v>0</v>
      </c>
      <c r="AT41" s="21">
        <f t="shared" si="119"/>
        <v>0</v>
      </c>
      <c r="AU41" s="21">
        <f t="shared" si="120"/>
        <v>0</v>
      </c>
      <c r="AV41" s="63">
        <f t="shared" si="121"/>
        <v>0</v>
      </c>
      <c r="AW41" s="182">
        <f t="shared" si="77"/>
        <v>0.38852979470856125</v>
      </c>
      <c r="AX41" s="52">
        <f t="shared" si="78"/>
        <v>0</v>
      </c>
      <c r="AY41" s="74">
        <f t="shared" si="79"/>
        <v>0</v>
      </c>
      <c r="AZ41" s="78">
        <f t="shared" si="80"/>
        <v>0</v>
      </c>
      <c r="BA41" s="87">
        <f t="shared" si="81"/>
        <v>0</v>
      </c>
      <c r="BB41" s="110">
        <f t="shared" si="82"/>
        <v>17871.758454157614</v>
      </c>
      <c r="BC41" s="69">
        <f t="shared" si="83"/>
        <v>13.403818840618211</v>
      </c>
      <c r="BD41" s="42">
        <f t="shared" si="84"/>
        <v>12928.9236132437</v>
      </c>
      <c r="BE41" s="79">
        <f t="shared" si="85"/>
        <v>9.6966927099327744</v>
      </c>
      <c r="BF41" s="117" t="e">
        <f t="shared" si="122"/>
        <v>#NUM!</v>
      </c>
      <c r="BG41" s="118" t="e">
        <f t="shared" si="123"/>
        <v>#NUM!</v>
      </c>
      <c r="BH41" s="117">
        <f t="shared" si="124"/>
        <v>3.9418515684774288E-4</v>
      </c>
      <c r="BI41" s="118">
        <f t="shared" si="125"/>
        <v>1.0542290881294061E-2</v>
      </c>
      <c r="BJ41" s="117">
        <f t="shared" si="126"/>
        <v>0</v>
      </c>
      <c r="BK41" s="118">
        <f t="shared" si="127"/>
        <v>0</v>
      </c>
      <c r="BL41" s="91">
        <f t="shared" si="128"/>
        <v>0</v>
      </c>
      <c r="BM41" s="93">
        <f t="shared" si="129"/>
        <v>0</v>
      </c>
      <c r="BN41" s="91">
        <f t="shared" si="130"/>
        <v>0</v>
      </c>
      <c r="BO41" s="93">
        <f t="shared" si="131"/>
        <v>0</v>
      </c>
      <c r="BP41" s="91">
        <f t="shared" si="132"/>
        <v>0</v>
      </c>
      <c r="BQ41" s="93">
        <f t="shared" si="133"/>
        <v>0</v>
      </c>
      <c r="BR41" s="91">
        <f t="shared" si="134"/>
        <v>0</v>
      </c>
      <c r="BS41" s="93">
        <f t="shared" si="135"/>
        <v>0</v>
      </c>
      <c r="BT41" s="188">
        <f t="shared" si="136"/>
        <v>0</v>
      </c>
      <c r="BU41" s="93">
        <f t="shared" si="137"/>
        <v>0</v>
      </c>
      <c r="BV41" s="117" t="e">
        <f t="shared" si="86"/>
        <v>#NUM!</v>
      </c>
      <c r="BW41" s="206" t="e">
        <f t="shared" si="87"/>
        <v>#NUM!</v>
      </c>
      <c r="BX41" s="206" t="e">
        <f t="shared" si="88"/>
        <v>#NUM!</v>
      </c>
      <c r="BY41" s="97" t="e">
        <f t="shared" si="89"/>
        <v>#NUM!</v>
      </c>
      <c r="BZ41" s="123" t="e">
        <f t="shared" si="90"/>
        <v>#NUM!</v>
      </c>
      <c r="CA41" s="91">
        <f t="shared" si="91"/>
        <v>1.8640627449911038E-3</v>
      </c>
      <c r="CB41" s="92">
        <f t="shared" si="138"/>
        <v>2.5000000000000001E-3</v>
      </c>
      <c r="CC41" s="92">
        <f t="shared" si="139"/>
        <v>0</v>
      </c>
      <c r="CD41" s="92">
        <f t="shared" si="140"/>
        <v>0</v>
      </c>
      <c r="CE41" s="92">
        <f t="shared" si="141"/>
        <v>0</v>
      </c>
      <c r="CF41" s="92">
        <f t="shared" si="142"/>
        <v>0</v>
      </c>
      <c r="CG41" s="92">
        <f t="shared" si="143"/>
        <v>0</v>
      </c>
      <c r="CH41" s="92">
        <f t="shared" si="144"/>
        <v>0</v>
      </c>
      <c r="CI41" s="127">
        <f t="shared" si="92"/>
        <v>4.3640627449911037E-3</v>
      </c>
      <c r="CJ41" s="91">
        <f t="shared" si="93"/>
        <v>1.3314733892793597E-4</v>
      </c>
      <c r="CK41" s="92">
        <f t="shared" si="145"/>
        <v>3.3750000000000009E-2</v>
      </c>
      <c r="CL41" s="92">
        <f t="shared" si="146"/>
        <v>8.1000000000000016E-2</v>
      </c>
      <c r="CM41" s="127">
        <f t="shared" si="94"/>
        <v>0.11488314733892796</v>
      </c>
      <c r="CN41" s="91">
        <f t="shared" si="147"/>
        <v>0.15</v>
      </c>
      <c r="CO41" s="92">
        <f t="shared" si="148"/>
        <v>0</v>
      </c>
      <c r="CP41" s="92">
        <f t="shared" si="149"/>
        <v>0</v>
      </c>
      <c r="CQ41" s="92">
        <f t="shared" si="150"/>
        <v>0</v>
      </c>
      <c r="CR41" s="92">
        <f t="shared" si="151"/>
        <v>0</v>
      </c>
      <c r="CS41" s="92">
        <f t="shared" si="152"/>
        <v>0</v>
      </c>
      <c r="CT41" s="92">
        <f t="shared" si="153"/>
        <v>0</v>
      </c>
      <c r="CU41" s="127">
        <f t="shared" si="154"/>
        <v>0.15</v>
      </c>
      <c r="CV41" s="231">
        <f t="shared" si="155"/>
        <v>3.3378467181446755E-2</v>
      </c>
      <c r="CW41" s="188">
        <f t="shared" si="156"/>
        <v>0.30262567726536582</v>
      </c>
      <c r="CX41" s="206">
        <f t="shared" si="157"/>
        <v>7.8026256772653655</v>
      </c>
      <c r="CY41" s="231">
        <f t="shared" si="158"/>
        <v>0.96121489229617529</v>
      </c>
      <c r="CZ41">
        <f t="shared" si="159"/>
        <v>85.960000000000008</v>
      </c>
      <c r="DA41">
        <f t="shared" si="160"/>
        <v>833.08951298897352</v>
      </c>
      <c r="DD41" s="22">
        <v>20000</v>
      </c>
      <c r="DE41" s="22">
        <f t="shared" si="95"/>
        <v>125663.70614359173</v>
      </c>
      <c r="DF41" s="91">
        <f t="shared" si="96"/>
        <v>1.1772609252141322</v>
      </c>
      <c r="DG41" s="93">
        <f t="shared" si="97"/>
        <v>-80.488139529286514</v>
      </c>
      <c r="DH41" s="91">
        <f t="shared" si="98"/>
        <v>-28.675742085444149</v>
      </c>
      <c r="DI41" s="92">
        <f t="shared" si="99"/>
        <v>119.86957944813931</v>
      </c>
      <c r="DJ41" s="92">
        <f t="shared" si="55"/>
        <v>-11.872695492951202</v>
      </c>
      <c r="DK41" s="93">
        <f t="shared" si="100"/>
        <v>126.86979209078608</v>
      </c>
      <c r="DL41" s="91">
        <f t="shared" si="101"/>
        <v>-27.498481160230018</v>
      </c>
      <c r="DM41" s="92">
        <f t="shared" si="102"/>
        <v>39.381439918852791</v>
      </c>
      <c r="DN41" s="92">
        <f t="shared" si="103"/>
        <v>-10.69543456773707</v>
      </c>
      <c r="DO41" s="93">
        <f t="shared" si="104"/>
        <v>46.381652561499564</v>
      </c>
    </row>
    <row r="42" spans="1:119" ht="15" x14ac:dyDescent="0.25">
      <c r="A42" s="12" t="s">
        <v>387</v>
      </c>
      <c r="B42" s="190">
        <f>COUT1_FlyB_DCM</f>
        <v>1.2999999999999999E-4</v>
      </c>
      <c r="C42" s="12" t="s">
        <v>343</v>
      </c>
      <c r="K42" s="58">
        <v>38</v>
      </c>
      <c r="L42" s="131">
        <f t="shared" si="56"/>
        <v>47.040000000000006</v>
      </c>
      <c r="M42" s="130">
        <f t="shared" si="57"/>
        <v>0.15943877551020408</v>
      </c>
      <c r="N42" s="132">
        <f t="shared" si="0"/>
        <v>0.29437078833786401</v>
      </c>
      <c r="O42" s="52">
        <f t="shared" si="58"/>
        <v>0.20815158061693351</v>
      </c>
      <c r="P42" s="21">
        <f t="shared" si="59"/>
        <v>0.54162567016401186</v>
      </c>
      <c r="Q42" s="19">
        <f t="shared" si="60"/>
        <v>1.0832513403280235</v>
      </c>
      <c r="R42" s="6">
        <f t="shared" si="105"/>
        <v>0.70730119236782241</v>
      </c>
      <c r="S42" s="55">
        <f t="shared" si="61"/>
        <v>0.33932508235386649</v>
      </c>
      <c r="T42" s="133">
        <f t="shared" si="62"/>
        <v>0.29953428581427038</v>
      </c>
      <c r="U42" s="54">
        <f t="shared" si="106"/>
        <v>0.34618004708532812</v>
      </c>
      <c r="V42" s="21">
        <f t="shared" si="107"/>
        <v>2.8886702408747298</v>
      </c>
      <c r="W42" s="21">
        <f t="shared" si="64"/>
        <v>0.9812696267038824</v>
      </c>
      <c r="X42" s="63">
        <f t="shared" si="65"/>
        <v>0.84432818281257005</v>
      </c>
      <c r="Y42" s="54">
        <f t="shared" si="108"/>
        <v>0</v>
      </c>
      <c r="Z42" s="21">
        <f t="shared" si="109"/>
        <v>0</v>
      </c>
      <c r="AA42" s="21">
        <f t="shared" si="66"/>
        <v>0</v>
      </c>
      <c r="AB42" s="63">
        <f t="shared" si="67"/>
        <v>0</v>
      </c>
      <c r="AC42" s="52">
        <f t="shared" si="110"/>
        <v>0</v>
      </c>
      <c r="AD42" s="21">
        <f t="shared" si="111"/>
        <v>0</v>
      </c>
      <c r="AE42" s="21">
        <f t="shared" si="68"/>
        <v>0</v>
      </c>
      <c r="AF42" s="63">
        <f t="shared" si="69"/>
        <v>0</v>
      </c>
      <c r="AG42" s="52">
        <f t="shared" si="112"/>
        <v>0</v>
      </c>
      <c r="AH42" s="21">
        <f t="shared" si="113"/>
        <v>0</v>
      </c>
      <c r="AI42" s="21">
        <f t="shared" si="70"/>
        <v>0</v>
      </c>
      <c r="AJ42" s="63">
        <f t="shared" si="71"/>
        <v>0</v>
      </c>
      <c r="AK42" s="52">
        <f t="shared" si="114"/>
        <v>0</v>
      </c>
      <c r="AL42" s="21">
        <f t="shared" si="115"/>
        <v>0</v>
      </c>
      <c r="AM42" s="21">
        <f t="shared" si="72"/>
        <v>0</v>
      </c>
      <c r="AN42" s="63">
        <f t="shared" si="73"/>
        <v>0</v>
      </c>
      <c r="AO42" s="52">
        <f t="shared" si="116"/>
        <v>0</v>
      </c>
      <c r="AP42" s="21">
        <f t="shared" si="117"/>
        <v>0</v>
      </c>
      <c r="AQ42" s="21">
        <f t="shared" si="75"/>
        <v>0</v>
      </c>
      <c r="AR42" s="181">
        <f t="shared" si="76"/>
        <v>0</v>
      </c>
      <c r="AS42" s="52">
        <f t="shared" si="118"/>
        <v>0</v>
      </c>
      <c r="AT42" s="21">
        <f t="shared" si="119"/>
        <v>0</v>
      </c>
      <c r="AU42" s="21">
        <f t="shared" si="120"/>
        <v>0</v>
      </c>
      <c r="AV42" s="63">
        <f t="shared" si="121"/>
        <v>0</v>
      </c>
      <c r="AW42" s="182">
        <f t="shared" si="77"/>
        <v>0.38852979470856125</v>
      </c>
      <c r="AX42" s="52">
        <f t="shared" si="78"/>
        <v>0</v>
      </c>
      <c r="AY42" s="74">
        <f t="shared" si="79"/>
        <v>0</v>
      </c>
      <c r="AZ42" s="78">
        <f t="shared" si="80"/>
        <v>0</v>
      </c>
      <c r="BA42" s="87">
        <f t="shared" si="81"/>
        <v>0</v>
      </c>
      <c r="BB42" s="110">
        <f t="shared" si="82"/>
        <v>17871.758454157614</v>
      </c>
      <c r="BC42" s="69">
        <f t="shared" si="83"/>
        <v>13.403818840618211</v>
      </c>
      <c r="BD42" s="42">
        <f t="shared" si="84"/>
        <v>12928.9236132437</v>
      </c>
      <c r="BE42" s="79">
        <f t="shared" si="85"/>
        <v>9.6966927099327744</v>
      </c>
      <c r="BF42" s="117" t="e">
        <f t="shared" si="122"/>
        <v>#NUM!</v>
      </c>
      <c r="BG42" s="118" t="e">
        <f t="shared" si="123"/>
        <v>#NUM!</v>
      </c>
      <c r="BH42" s="117">
        <f t="shared" si="124"/>
        <v>3.9418515684774288E-4</v>
      </c>
      <c r="BI42" s="118">
        <f t="shared" si="125"/>
        <v>1.0542290881294061E-2</v>
      </c>
      <c r="BJ42" s="117">
        <f t="shared" si="126"/>
        <v>0</v>
      </c>
      <c r="BK42" s="118">
        <f t="shared" si="127"/>
        <v>0</v>
      </c>
      <c r="BL42" s="91">
        <f t="shared" si="128"/>
        <v>0</v>
      </c>
      <c r="BM42" s="93">
        <f t="shared" si="129"/>
        <v>0</v>
      </c>
      <c r="BN42" s="91">
        <f t="shared" si="130"/>
        <v>0</v>
      </c>
      <c r="BO42" s="93">
        <f t="shared" si="131"/>
        <v>0</v>
      </c>
      <c r="BP42" s="91">
        <f t="shared" si="132"/>
        <v>0</v>
      </c>
      <c r="BQ42" s="93">
        <f t="shared" si="133"/>
        <v>0</v>
      </c>
      <c r="BR42" s="91">
        <f t="shared" si="134"/>
        <v>0</v>
      </c>
      <c r="BS42" s="93">
        <f t="shared" si="135"/>
        <v>0</v>
      </c>
      <c r="BT42" s="188">
        <f t="shared" si="136"/>
        <v>0</v>
      </c>
      <c r="BU42" s="93">
        <f t="shared" si="137"/>
        <v>0</v>
      </c>
      <c r="BV42" s="117" t="e">
        <f t="shared" si="86"/>
        <v>#NUM!</v>
      </c>
      <c r="BW42" s="206" t="e">
        <f t="shared" si="87"/>
        <v>#NUM!</v>
      </c>
      <c r="BX42" s="206" t="e">
        <f t="shared" si="88"/>
        <v>#NUM!</v>
      </c>
      <c r="BY42" s="97" t="e">
        <f t="shared" si="89"/>
        <v>#NUM!</v>
      </c>
      <c r="BZ42" s="123" t="e">
        <f t="shared" si="90"/>
        <v>#NUM!</v>
      </c>
      <c r="CA42" s="91">
        <f t="shared" si="91"/>
        <v>1.7794506195335277E-3</v>
      </c>
      <c r="CB42" s="92">
        <f t="shared" si="138"/>
        <v>2.5000000000000001E-3</v>
      </c>
      <c r="CC42" s="92">
        <f t="shared" si="139"/>
        <v>0</v>
      </c>
      <c r="CD42" s="92">
        <f t="shared" si="140"/>
        <v>0</v>
      </c>
      <c r="CE42" s="92">
        <f t="shared" si="141"/>
        <v>0</v>
      </c>
      <c r="CF42" s="92">
        <f t="shared" si="142"/>
        <v>0</v>
      </c>
      <c r="CG42" s="92">
        <f t="shared" si="143"/>
        <v>0</v>
      </c>
      <c r="CH42" s="92">
        <f t="shared" si="144"/>
        <v>0</v>
      </c>
      <c r="CI42" s="127">
        <f t="shared" si="92"/>
        <v>4.2794506195335275E-3</v>
      </c>
      <c r="CJ42" s="91">
        <f t="shared" si="93"/>
        <v>1.2710361568096624E-4</v>
      </c>
      <c r="CK42" s="92">
        <f t="shared" si="145"/>
        <v>3.3750000000000009E-2</v>
      </c>
      <c r="CL42" s="92">
        <f t="shared" si="146"/>
        <v>8.1000000000000016E-2</v>
      </c>
      <c r="CM42" s="127">
        <f t="shared" si="94"/>
        <v>0.11487710361568099</v>
      </c>
      <c r="CN42" s="91">
        <f t="shared" si="147"/>
        <v>0.15</v>
      </c>
      <c r="CO42" s="92">
        <f t="shared" si="148"/>
        <v>0</v>
      </c>
      <c r="CP42" s="92">
        <f t="shared" si="149"/>
        <v>0</v>
      </c>
      <c r="CQ42" s="92">
        <f t="shared" si="150"/>
        <v>0</v>
      </c>
      <c r="CR42" s="92">
        <f t="shared" si="151"/>
        <v>0</v>
      </c>
      <c r="CS42" s="92">
        <f t="shared" si="152"/>
        <v>0</v>
      </c>
      <c r="CT42" s="92">
        <f t="shared" si="153"/>
        <v>0</v>
      </c>
      <c r="CU42" s="127">
        <f t="shared" si="154"/>
        <v>0.15</v>
      </c>
      <c r="CV42" s="231">
        <f t="shared" si="155"/>
        <v>3.309142965397649E-2</v>
      </c>
      <c r="CW42" s="188">
        <f t="shared" si="156"/>
        <v>0.302247983889191</v>
      </c>
      <c r="CX42" s="206">
        <f t="shared" si="157"/>
        <v>7.8022479838891909</v>
      </c>
      <c r="CY42" s="231">
        <f t="shared" si="158"/>
        <v>0.96126142305226636</v>
      </c>
      <c r="CZ42">
        <f t="shared" si="159"/>
        <v>87.04</v>
      </c>
      <c r="DA42">
        <f t="shared" si="160"/>
        <v>834.16951298897345</v>
      </c>
      <c r="DD42" s="22">
        <v>30000</v>
      </c>
      <c r="DE42" s="22">
        <f t="shared" si="95"/>
        <v>188495.55921538759</v>
      </c>
      <c r="DF42" s="91">
        <f t="shared" si="96"/>
        <v>-2.2056565666690382</v>
      </c>
      <c r="DG42" s="93">
        <f t="shared" si="97"/>
        <v>-76.07543045163068</v>
      </c>
      <c r="DH42" s="91">
        <f t="shared" si="98"/>
        <v>-31.473757281095192</v>
      </c>
      <c r="DI42" s="92">
        <f t="shared" si="99"/>
        <v>111.16732057394651</v>
      </c>
      <c r="DJ42" s="92">
        <f t="shared" si="55"/>
        <v>-14.389522823167489</v>
      </c>
      <c r="DK42" s="93">
        <f t="shared" si="100"/>
        <v>116.68615844268906</v>
      </c>
      <c r="DL42" s="91">
        <f t="shared" si="101"/>
        <v>-33.679413847764231</v>
      </c>
      <c r="DM42" s="92">
        <f t="shared" si="102"/>
        <v>35.091890122315831</v>
      </c>
      <c r="DN42" s="92">
        <f t="shared" si="103"/>
        <v>-16.595179389836527</v>
      </c>
      <c r="DO42" s="93">
        <f t="shared" si="104"/>
        <v>40.610727991058383</v>
      </c>
    </row>
    <row r="43" spans="1:119" ht="15" x14ac:dyDescent="0.25">
      <c r="A43" s="12" t="s">
        <v>388</v>
      </c>
      <c r="B43" s="190">
        <f>IF(AND(Vout2&lt;&gt;0,Iout2&lt;&gt;0,Vout2_Ripple&lt;&gt;0),(Iout2*B7)/(Fsw*Vout2_Ripple*(10^-3)),0)</f>
        <v>0</v>
      </c>
      <c r="C43" s="12" t="s">
        <v>343</v>
      </c>
      <c r="K43" s="58">
        <v>39</v>
      </c>
      <c r="L43" s="131">
        <f t="shared" si="56"/>
        <v>48.120000000000005</v>
      </c>
      <c r="M43" s="130">
        <f t="shared" si="57"/>
        <v>0.15586034912718202</v>
      </c>
      <c r="N43" s="132">
        <f t="shared" si="0"/>
        <v>0.28776396266444565</v>
      </c>
      <c r="O43" s="52">
        <f t="shared" si="58"/>
        <v>0.203479849381142</v>
      </c>
      <c r="P43" s="21">
        <f t="shared" si="59"/>
        <v>0.54162567016401175</v>
      </c>
      <c r="Q43" s="19">
        <f t="shared" si="60"/>
        <v>1.0832513403280237</v>
      </c>
      <c r="R43" s="6">
        <f t="shared" si="105"/>
        <v>0.70347169577330559</v>
      </c>
      <c r="S43" s="55">
        <f t="shared" si="61"/>
        <v>0.33549558575934962</v>
      </c>
      <c r="T43" s="133">
        <f t="shared" si="62"/>
        <v>0.29709399124513114</v>
      </c>
      <c r="U43" s="54">
        <f t="shared" si="106"/>
        <v>0.34618004708532812</v>
      </c>
      <c r="V43" s="21">
        <f t="shared" si="107"/>
        <v>2.8886702408747298</v>
      </c>
      <c r="W43" s="21">
        <f t="shared" si="64"/>
        <v>0.9812696267038824</v>
      </c>
      <c r="X43" s="63">
        <f t="shared" si="65"/>
        <v>0.84432818281257005</v>
      </c>
      <c r="Y43" s="54">
        <f t="shared" si="108"/>
        <v>0</v>
      </c>
      <c r="Z43" s="21">
        <f t="shared" si="109"/>
        <v>0</v>
      </c>
      <c r="AA43" s="21">
        <f t="shared" si="66"/>
        <v>0</v>
      </c>
      <c r="AB43" s="63">
        <f t="shared" si="67"/>
        <v>0</v>
      </c>
      <c r="AC43" s="52">
        <f t="shared" si="110"/>
        <v>0</v>
      </c>
      <c r="AD43" s="21">
        <f t="shared" si="111"/>
        <v>0</v>
      </c>
      <c r="AE43" s="21">
        <f t="shared" si="68"/>
        <v>0</v>
      </c>
      <c r="AF43" s="63">
        <f t="shared" si="69"/>
        <v>0</v>
      </c>
      <c r="AG43" s="52">
        <f t="shared" si="112"/>
        <v>0</v>
      </c>
      <c r="AH43" s="21">
        <f t="shared" si="113"/>
        <v>0</v>
      </c>
      <c r="AI43" s="21">
        <f t="shared" si="70"/>
        <v>0</v>
      </c>
      <c r="AJ43" s="63">
        <f t="shared" si="71"/>
        <v>0</v>
      </c>
      <c r="AK43" s="52">
        <f t="shared" si="114"/>
        <v>0</v>
      </c>
      <c r="AL43" s="21">
        <f t="shared" si="115"/>
        <v>0</v>
      </c>
      <c r="AM43" s="21">
        <f t="shared" si="72"/>
        <v>0</v>
      </c>
      <c r="AN43" s="63">
        <f t="shared" si="73"/>
        <v>0</v>
      </c>
      <c r="AO43" s="52">
        <f t="shared" si="116"/>
        <v>0</v>
      </c>
      <c r="AP43" s="21">
        <f t="shared" si="117"/>
        <v>0</v>
      </c>
      <c r="AQ43" s="21">
        <f t="shared" si="75"/>
        <v>0</v>
      </c>
      <c r="AR43" s="181">
        <f t="shared" si="76"/>
        <v>0</v>
      </c>
      <c r="AS43" s="52">
        <f t="shared" si="118"/>
        <v>0</v>
      </c>
      <c r="AT43" s="21">
        <f t="shared" si="119"/>
        <v>0</v>
      </c>
      <c r="AU43" s="21">
        <f t="shared" si="120"/>
        <v>0</v>
      </c>
      <c r="AV43" s="63">
        <f t="shared" si="121"/>
        <v>0</v>
      </c>
      <c r="AW43" s="182">
        <f t="shared" si="77"/>
        <v>0.38852979470856125</v>
      </c>
      <c r="AX43" s="52">
        <f t="shared" si="78"/>
        <v>0</v>
      </c>
      <c r="AY43" s="74">
        <f t="shared" si="79"/>
        <v>0</v>
      </c>
      <c r="AZ43" s="78">
        <f t="shared" si="80"/>
        <v>0</v>
      </c>
      <c r="BA43" s="87">
        <f t="shared" si="81"/>
        <v>0</v>
      </c>
      <c r="BB43" s="110">
        <f t="shared" si="82"/>
        <v>17871.758454157614</v>
      </c>
      <c r="BC43" s="69">
        <f t="shared" si="83"/>
        <v>13.403818840618211</v>
      </c>
      <c r="BD43" s="42">
        <f t="shared" si="84"/>
        <v>12928.9236132437</v>
      </c>
      <c r="BE43" s="79">
        <f t="shared" si="85"/>
        <v>9.6966927099327744</v>
      </c>
      <c r="BF43" s="117" t="e">
        <f t="shared" si="122"/>
        <v>#NUM!</v>
      </c>
      <c r="BG43" s="118" t="e">
        <f t="shared" si="123"/>
        <v>#NUM!</v>
      </c>
      <c r="BH43" s="117">
        <f t="shared" si="124"/>
        <v>3.9418515684774288E-4</v>
      </c>
      <c r="BI43" s="118">
        <f t="shared" si="125"/>
        <v>1.0542290881294061E-2</v>
      </c>
      <c r="BJ43" s="117">
        <f t="shared" si="126"/>
        <v>0</v>
      </c>
      <c r="BK43" s="118">
        <f t="shared" si="127"/>
        <v>0</v>
      </c>
      <c r="BL43" s="91">
        <f t="shared" si="128"/>
        <v>0</v>
      </c>
      <c r="BM43" s="93">
        <f t="shared" si="129"/>
        <v>0</v>
      </c>
      <c r="BN43" s="91">
        <f t="shared" si="130"/>
        <v>0</v>
      </c>
      <c r="BO43" s="93">
        <f t="shared" si="131"/>
        <v>0</v>
      </c>
      <c r="BP43" s="91">
        <f t="shared" si="132"/>
        <v>0</v>
      </c>
      <c r="BQ43" s="93">
        <f t="shared" si="133"/>
        <v>0</v>
      </c>
      <c r="BR43" s="91">
        <f t="shared" si="134"/>
        <v>0</v>
      </c>
      <c r="BS43" s="93">
        <f t="shared" si="135"/>
        <v>0</v>
      </c>
      <c r="BT43" s="188">
        <f t="shared" si="136"/>
        <v>0</v>
      </c>
      <c r="BU43" s="93">
        <f t="shared" si="137"/>
        <v>0</v>
      </c>
      <c r="BV43" s="117" t="e">
        <f t="shared" si="86"/>
        <v>#NUM!</v>
      </c>
      <c r="BW43" s="206" t="e">
        <f t="shared" si="87"/>
        <v>#NUM!</v>
      </c>
      <c r="BX43" s="206" t="e">
        <f t="shared" si="88"/>
        <v>#NUM!</v>
      </c>
      <c r="BY43" s="97" t="e">
        <f t="shared" si="89"/>
        <v>#NUM!</v>
      </c>
      <c r="BZ43" s="123" t="e">
        <f t="shared" si="90"/>
        <v>#NUM!</v>
      </c>
      <c r="CA43" s="91">
        <f t="shared" si="91"/>
        <v>1.700471390103295E-3</v>
      </c>
      <c r="CB43" s="92">
        <f t="shared" si="138"/>
        <v>2.5000000000000001E-3</v>
      </c>
      <c r="CC43" s="92">
        <f t="shared" si="139"/>
        <v>0</v>
      </c>
      <c r="CD43" s="92">
        <f t="shared" si="140"/>
        <v>0</v>
      </c>
      <c r="CE43" s="92">
        <f t="shared" si="141"/>
        <v>0</v>
      </c>
      <c r="CF43" s="92">
        <f t="shared" si="142"/>
        <v>0</v>
      </c>
      <c r="CG43" s="92">
        <f t="shared" si="143"/>
        <v>0</v>
      </c>
      <c r="CH43" s="92">
        <f t="shared" si="144"/>
        <v>0</v>
      </c>
      <c r="CI43" s="127">
        <f t="shared" si="92"/>
        <v>4.200471390103295E-3</v>
      </c>
      <c r="CJ43" s="91">
        <f t="shared" si="93"/>
        <v>1.2146224215023534E-4</v>
      </c>
      <c r="CK43" s="92">
        <f t="shared" si="145"/>
        <v>3.3750000000000002E-2</v>
      </c>
      <c r="CL43" s="92">
        <f t="shared" si="146"/>
        <v>8.1000000000000016E-2</v>
      </c>
      <c r="CM43" s="127">
        <f t="shared" si="94"/>
        <v>0.11487146224215025</v>
      </c>
      <c r="CN43" s="91">
        <f t="shared" si="147"/>
        <v>0.15</v>
      </c>
      <c r="CO43" s="92">
        <f t="shared" si="148"/>
        <v>0</v>
      </c>
      <c r="CP43" s="92">
        <f t="shared" si="149"/>
        <v>0</v>
      </c>
      <c r="CQ43" s="92">
        <f t="shared" si="150"/>
        <v>0</v>
      </c>
      <c r="CR43" s="92">
        <f t="shared" si="151"/>
        <v>0</v>
      </c>
      <c r="CS43" s="92">
        <f t="shared" si="152"/>
        <v>0</v>
      </c>
      <c r="CT43" s="92">
        <f t="shared" si="153"/>
        <v>0</v>
      </c>
      <c r="CU43" s="127">
        <f t="shared" si="154"/>
        <v>0.15</v>
      </c>
      <c r="CV43" s="231">
        <f t="shared" si="155"/>
        <v>3.2797644182891342E-2</v>
      </c>
      <c r="CW43" s="188">
        <f t="shared" si="156"/>
        <v>0.3018695778151449</v>
      </c>
      <c r="CX43" s="206">
        <f t="shared" si="157"/>
        <v>7.801869577815145</v>
      </c>
      <c r="CY43" s="231">
        <f t="shared" si="158"/>
        <v>0.96130804612864584</v>
      </c>
      <c r="CZ43">
        <f t="shared" si="159"/>
        <v>88.12</v>
      </c>
      <c r="DA43">
        <f t="shared" si="160"/>
        <v>835.24951298897361</v>
      </c>
      <c r="DD43" s="22">
        <v>40000</v>
      </c>
      <c r="DE43" s="22">
        <f t="shared" si="95"/>
        <v>251327.41228718346</v>
      </c>
      <c r="DF43" s="91">
        <f t="shared" si="96"/>
        <v>-4.5171732108674849</v>
      </c>
      <c r="DG43" s="93">
        <f t="shared" si="97"/>
        <v>-71.789548875958673</v>
      </c>
      <c r="DH43" s="91">
        <f t="shared" si="98"/>
        <v>-33.687482919861566</v>
      </c>
      <c r="DI43" s="92">
        <f t="shared" si="99"/>
        <v>106.25511446738356</v>
      </c>
      <c r="DJ43" s="92">
        <f t="shared" si="55"/>
        <v>-16.473258751717598</v>
      </c>
      <c r="DK43" s="93">
        <f t="shared" si="100"/>
        <v>110.69072301030684</v>
      </c>
      <c r="DL43" s="91">
        <f t="shared" si="101"/>
        <v>-38.204656130729049</v>
      </c>
      <c r="DM43" s="92">
        <f t="shared" si="102"/>
        <v>34.465565591424891</v>
      </c>
      <c r="DN43" s="92">
        <f t="shared" si="103"/>
        <v>-20.990431962585085</v>
      </c>
      <c r="DO43" s="93">
        <f t="shared" si="104"/>
        <v>38.901174134348167</v>
      </c>
    </row>
    <row r="44" spans="1:119" ht="15" x14ac:dyDescent="0.25">
      <c r="A44" s="12" t="s">
        <v>389</v>
      </c>
      <c r="B44" s="190">
        <f>COUT2_FlyB_DCM</f>
        <v>0</v>
      </c>
      <c r="C44" s="12" t="s">
        <v>343</v>
      </c>
      <c r="K44" s="58">
        <v>40</v>
      </c>
      <c r="L44" s="131">
        <f t="shared" si="56"/>
        <v>49.2</v>
      </c>
      <c r="M44" s="130">
        <f t="shared" si="57"/>
        <v>0.1524390243902439</v>
      </c>
      <c r="N44" s="132">
        <f t="shared" si="0"/>
        <v>0.28144719275229929</v>
      </c>
      <c r="O44" s="52">
        <f t="shared" si="58"/>
        <v>0.19901321854106815</v>
      </c>
      <c r="P44" s="21">
        <f t="shared" si="59"/>
        <v>0.54162567016401175</v>
      </c>
      <c r="Q44" s="19">
        <f t="shared" si="60"/>
        <v>1.0832513403280237</v>
      </c>
      <c r="R44" s="6">
        <f t="shared" si="105"/>
        <v>0.69976899469658238</v>
      </c>
      <c r="S44" s="55">
        <f t="shared" si="61"/>
        <v>0.33179288468262652</v>
      </c>
      <c r="T44" s="133">
        <f t="shared" si="62"/>
        <v>0.29470131009035122</v>
      </c>
      <c r="U44" s="54">
        <f t="shared" si="106"/>
        <v>0.34618004708532812</v>
      </c>
      <c r="V44" s="21">
        <f t="shared" si="107"/>
        <v>2.8886702408747298</v>
      </c>
      <c r="W44" s="21">
        <f t="shared" si="64"/>
        <v>0.9812696267038824</v>
      </c>
      <c r="X44" s="63">
        <f t="shared" si="65"/>
        <v>0.84432818281257005</v>
      </c>
      <c r="Y44" s="54">
        <f t="shared" si="108"/>
        <v>0</v>
      </c>
      <c r="Z44" s="21">
        <f t="shared" si="109"/>
        <v>0</v>
      </c>
      <c r="AA44" s="21">
        <f t="shared" si="66"/>
        <v>0</v>
      </c>
      <c r="AB44" s="63">
        <f t="shared" si="67"/>
        <v>0</v>
      </c>
      <c r="AC44" s="52">
        <f t="shared" si="110"/>
        <v>0</v>
      </c>
      <c r="AD44" s="21">
        <f t="shared" si="111"/>
        <v>0</v>
      </c>
      <c r="AE44" s="21">
        <f t="shared" si="68"/>
        <v>0</v>
      </c>
      <c r="AF44" s="63">
        <f t="shared" si="69"/>
        <v>0</v>
      </c>
      <c r="AG44" s="52">
        <f t="shared" si="112"/>
        <v>0</v>
      </c>
      <c r="AH44" s="21">
        <f t="shared" si="113"/>
        <v>0</v>
      </c>
      <c r="AI44" s="21">
        <f t="shared" si="70"/>
        <v>0</v>
      </c>
      <c r="AJ44" s="63">
        <f t="shared" si="71"/>
        <v>0</v>
      </c>
      <c r="AK44" s="52">
        <f t="shared" si="114"/>
        <v>0</v>
      </c>
      <c r="AL44" s="21">
        <f t="shared" si="115"/>
        <v>0</v>
      </c>
      <c r="AM44" s="21">
        <f t="shared" si="72"/>
        <v>0</v>
      </c>
      <c r="AN44" s="63">
        <f t="shared" si="73"/>
        <v>0</v>
      </c>
      <c r="AO44" s="52">
        <f t="shared" si="116"/>
        <v>0</v>
      </c>
      <c r="AP44" s="21">
        <f t="shared" si="117"/>
        <v>0</v>
      </c>
      <c r="AQ44" s="21">
        <f t="shared" si="75"/>
        <v>0</v>
      </c>
      <c r="AR44" s="181">
        <f t="shared" si="76"/>
        <v>0</v>
      </c>
      <c r="AS44" s="52">
        <f t="shared" si="118"/>
        <v>0</v>
      </c>
      <c r="AT44" s="21">
        <f t="shared" si="119"/>
        <v>0</v>
      </c>
      <c r="AU44" s="21">
        <f t="shared" si="120"/>
        <v>0</v>
      </c>
      <c r="AV44" s="63">
        <f t="shared" si="121"/>
        <v>0</v>
      </c>
      <c r="AW44" s="182">
        <f t="shared" si="77"/>
        <v>0.38852979470856125</v>
      </c>
      <c r="AX44" s="52">
        <f t="shared" si="78"/>
        <v>0</v>
      </c>
      <c r="AY44" s="74">
        <f t="shared" si="79"/>
        <v>0</v>
      </c>
      <c r="AZ44" s="78">
        <f t="shared" si="80"/>
        <v>0</v>
      </c>
      <c r="BA44" s="87">
        <f t="shared" si="81"/>
        <v>0</v>
      </c>
      <c r="BB44" s="110">
        <f t="shared" si="82"/>
        <v>17871.758454157614</v>
      </c>
      <c r="BC44" s="69">
        <f t="shared" si="83"/>
        <v>13.403818840618211</v>
      </c>
      <c r="BD44" s="42">
        <f t="shared" si="84"/>
        <v>12928.9236132437</v>
      </c>
      <c r="BE44" s="79">
        <f t="shared" si="85"/>
        <v>9.6966927099327744</v>
      </c>
      <c r="BF44" s="117" t="e">
        <f t="shared" si="122"/>
        <v>#NUM!</v>
      </c>
      <c r="BG44" s="118" t="e">
        <f t="shared" si="123"/>
        <v>#NUM!</v>
      </c>
      <c r="BH44" s="117">
        <f t="shared" si="124"/>
        <v>3.9418515684774288E-4</v>
      </c>
      <c r="BI44" s="118">
        <f t="shared" si="125"/>
        <v>1.0542290881294061E-2</v>
      </c>
      <c r="BJ44" s="117">
        <f t="shared" si="126"/>
        <v>0</v>
      </c>
      <c r="BK44" s="118">
        <f t="shared" si="127"/>
        <v>0</v>
      </c>
      <c r="BL44" s="91">
        <f t="shared" si="128"/>
        <v>0</v>
      </c>
      <c r="BM44" s="93">
        <f t="shared" si="129"/>
        <v>0</v>
      </c>
      <c r="BN44" s="91">
        <f t="shared" si="130"/>
        <v>0</v>
      </c>
      <c r="BO44" s="93">
        <f t="shared" si="131"/>
        <v>0</v>
      </c>
      <c r="BP44" s="91">
        <f t="shared" si="132"/>
        <v>0</v>
      </c>
      <c r="BQ44" s="93">
        <f t="shared" si="133"/>
        <v>0</v>
      </c>
      <c r="BR44" s="91">
        <f t="shared" si="134"/>
        <v>0</v>
      </c>
      <c r="BS44" s="93">
        <f t="shared" si="135"/>
        <v>0</v>
      </c>
      <c r="BT44" s="188">
        <f t="shared" si="136"/>
        <v>0</v>
      </c>
      <c r="BU44" s="93">
        <f t="shared" si="137"/>
        <v>0</v>
      </c>
      <c r="BV44" s="117" t="e">
        <f t="shared" si="86"/>
        <v>#NUM!</v>
      </c>
      <c r="BW44" s="206" t="e">
        <f t="shared" si="87"/>
        <v>#NUM!</v>
      </c>
      <c r="BX44" s="206" t="e">
        <f t="shared" si="88"/>
        <v>#NUM!</v>
      </c>
      <c r="BY44" s="97" t="e">
        <f t="shared" si="89"/>
        <v>#NUM!</v>
      </c>
      <c r="BZ44" s="123" t="e">
        <f t="shared" si="90"/>
        <v>#NUM!</v>
      </c>
      <c r="CA44" s="91">
        <f t="shared" si="91"/>
        <v>1.6266359309934566E-3</v>
      </c>
      <c r="CB44" s="92">
        <f t="shared" si="138"/>
        <v>2.5000000000000001E-3</v>
      </c>
      <c r="CC44" s="92">
        <f t="shared" si="139"/>
        <v>0</v>
      </c>
      <c r="CD44" s="92">
        <f t="shared" si="140"/>
        <v>0</v>
      </c>
      <c r="CE44" s="92">
        <f t="shared" si="141"/>
        <v>0</v>
      </c>
      <c r="CF44" s="92">
        <f t="shared" si="142"/>
        <v>0</v>
      </c>
      <c r="CG44" s="92">
        <f t="shared" si="143"/>
        <v>0</v>
      </c>
      <c r="CH44" s="92">
        <f t="shared" si="144"/>
        <v>0</v>
      </c>
      <c r="CI44" s="127">
        <f t="shared" si="92"/>
        <v>4.1266359309934568E-3</v>
      </c>
      <c r="CJ44" s="91">
        <f t="shared" si="93"/>
        <v>1.1618828078524688E-4</v>
      </c>
      <c r="CK44" s="92">
        <f t="shared" si="145"/>
        <v>3.3750000000000002E-2</v>
      </c>
      <c r="CL44" s="92">
        <f t="shared" si="146"/>
        <v>8.1000000000000016E-2</v>
      </c>
      <c r="CM44" s="127">
        <f t="shared" si="94"/>
        <v>0.11486618828078526</v>
      </c>
      <c r="CN44" s="91">
        <f t="shared" si="147"/>
        <v>0.15</v>
      </c>
      <c r="CO44" s="92">
        <f t="shared" si="148"/>
        <v>0</v>
      </c>
      <c r="CP44" s="92">
        <f t="shared" si="149"/>
        <v>0</v>
      </c>
      <c r="CQ44" s="92">
        <f t="shared" si="150"/>
        <v>0</v>
      </c>
      <c r="CR44" s="92">
        <f t="shared" si="151"/>
        <v>0</v>
      </c>
      <c r="CS44" s="92">
        <f t="shared" si="152"/>
        <v>0</v>
      </c>
      <c r="CT44" s="92">
        <f t="shared" si="153"/>
        <v>0</v>
      </c>
      <c r="CU44" s="127">
        <f t="shared" si="154"/>
        <v>0.15</v>
      </c>
      <c r="CV44" s="231">
        <f t="shared" si="155"/>
        <v>3.2496869982538083E-2</v>
      </c>
      <c r="CW44" s="188">
        <f t="shared" si="156"/>
        <v>0.30148969419431682</v>
      </c>
      <c r="CX44" s="206">
        <f t="shared" si="157"/>
        <v>7.8014896941943164</v>
      </c>
      <c r="CY44" s="231">
        <f t="shared" si="158"/>
        <v>0.96135485580161983</v>
      </c>
      <c r="CZ44">
        <f t="shared" si="159"/>
        <v>89.2</v>
      </c>
      <c r="DA44">
        <f t="shared" si="160"/>
        <v>836.32951298897365</v>
      </c>
      <c r="DD44" s="22">
        <v>50000</v>
      </c>
      <c r="DE44" s="22">
        <f t="shared" si="95"/>
        <v>314159.26535897929</v>
      </c>
      <c r="DF44" s="91">
        <f t="shared" si="96"/>
        <v>-6.2259103740366033</v>
      </c>
      <c r="DG44" s="93">
        <f t="shared" si="97"/>
        <v>-67.691022431470884</v>
      </c>
      <c r="DH44" s="91">
        <f t="shared" si="98"/>
        <v>-35.487089087186312</v>
      </c>
      <c r="DI44" s="92">
        <f t="shared" si="99"/>
        <v>103.15323469349701</v>
      </c>
      <c r="DJ44" s="92">
        <f t="shared" si="55"/>
        <v>-18.205038860618561</v>
      </c>
      <c r="DK44" s="93">
        <f t="shared" si="100"/>
        <v>106.82566380872977</v>
      </c>
      <c r="DL44" s="91">
        <f t="shared" si="101"/>
        <v>-41.712999461222914</v>
      </c>
      <c r="DM44" s="92">
        <f t="shared" si="102"/>
        <v>35.462212262026128</v>
      </c>
      <c r="DN44" s="92">
        <f t="shared" si="103"/>
        <v>-24.430949234655166</v>
      </c>
      <c r="DO44" s="93">
        <f t="shared" si="104"/>
        <v>39.134641377258887</v>
      </c>
    </row>
    <row r="45" spans="1:119" ht="15" x14ac:dyDescent="0.25">
      <c r="A45" s="12" t="s">
        <v>390</v>
      </c>
      <c r="B45" s="190">
        <f>IF(AND(Vout3&lt;&gt;0,Iout3&lt;&gt;0,Vout3_Ripple&lt;&gt;0),(Iout3*B7)/(Fsw*Vout3_Ripple*(10^-3)),0)</f>
        <v>0</v>
      </c>
      <c r="C45" s="12" t="s">
        <v>343</v>
      </c>
      <c r="K45" s="58">
        <v>41</v>
      </c>
      <c r="L45" s="131">
        <f t="shared" si="56"/>
        <v>50.28</v>
      </c>
      <c r="M45" s="130">
        <f t="shared" si="57"/>
        <v>0.14916467780429596</v>
      </c>
      <c r="N45" s="132">
        <f t="shared" si="0"/>
        <v>0.27540178765738116</v>
      </c>
      <c r="O45" s="52">
        <f t="shared" si="58"/>
        <v>0.19473847160343186</v>
      </c>
      <c r="P45" s="21">
        <f t="shared" si="59"/>
        <v>0.54162567016401186</v>
      </c>
      <c r="Q45" s="19">
        <f t="shared" si="60"/>
        <v>1.0832513403280235</v>
      </c>
      <c r="R45" s="6">
        <f t="shared" si="105"/>
        <v>0.69618624307010368</v>
      </c>
      <c r="S45" s="55">
        <f t="shared" si="61"/>
        <v>0.32821013305614777</v>
      </c>
      <c r="T45" s="133">
        <f t="shared" si="62"/>
        <v>0.29235558885760127</v>
      </c>
      <c r="U45" s="54">
        <f t="shared" si="106"/>
        <v>0.34618004708532812</v>
      </c>
      <c r="V45" s="21">
        <f t="shared" si="107"/>
        <v>2.8886702408747298</v>
      </c>
      <c r="W45" s="21">
        <f t="shared" si="64"/>
        <v>0.9812696267038824</v>
      </c>
      <c r="X45" s="63">
        <f t="shared" si="65"/>
        <v>0.84432818281257005</v>
      </c>
      <c r="Y45" s="54">
        <f t="shared" si="108"/>
        <v>0</v>
      </c>
      <c r="Z45" s="21">
        <f t="shared" si="109"/>
        <v>0</v>
      </c>
      <c r="AA45" s="21">
        <f t="shared" si="66"/>
        <v>0</v>
      </c>
      <c r="AB45" s="63">
        <f t="shared" si="67"/>
        <v>0</v>
      </c>
      <c r="AC45" s="52">
        <f t="shared" si="110"/>
        <v>0</v>
      </c>
      <c r="AD45" s="21">
        <f t="shared" si="111"/>
        <v>0</v>
      </c>
      <c r="AE45" s="21">
        <f t="shared" si="68"/>
        <v>0</v>
      </c>
      <c r="AF45" s="63">
        <f t="shared" si="69"/>
        <v>0</v>
      </c>
      <c r="AG45" s="52">
        <f t="shared" si="112"/>
        <v>0</v>
      </c>
      <c r="AH45" s="21">
        <f t="shared" si="113"/>
        <v>0</v>
      </c>
      <c r="AI45" s="21">
        <f t="shared" si="70"/>
        <v>0</v>
      </c>
      <c r="AJ45" s="63">
        <f t="shared" si="71"/>
        <v>0</v>
      </c>
      <c r="AK45" s="52">
        <f t="shared" si="114"/>
        <v>0</v>
      </c>
      <c r="AL45" s="21">
        <f t="shared" si="115"/>
        <v>0</v>
      </c>
      <c r="AM45" s="21">
        <f t="shared" si="72"/>
        <v>0</v>
      </c>
      <c r="AN45" s="63">
        <f t="shared" si="73"/>
        <v>0</v>
      </c>
      <c r="AO45" s="52">
        <f t="shared" si="116"/>
        <v>0</v>
      </c>
      <c r="AP45" s="21">
        <f t="shared" si="117"/>
        <v>0</v>
      </c>
      <c r="AQ45" s="21">
        <f t="shared" si="75"/>
        <v>0</v>
      </c>
      <c r="AR45" s="181">
        <f t="shared" si="76"/>
        <v>0</v>
      </c>
      <c r="AS45" s="52">
        <f t="shared" si="118"/>
        <v>0</v>
      </c>
      <c r="AT45" s="21">
        <f t="shared" si="119"/>
        <v>0</v>
      </c>
      <c r="AU45" s="21">
        <f t="shared" si="120"/>
        <v>0</v>
      </c>
      <c r="AV45" s="63">
        <f t="shared" si="121"/>
        <v>0</v>
      </c>
      <c r="AW45" s="182">
        <f t="shared" si="77"/>
        <v>0.38852979470856125</v>
      </c>
      <c r="AX45" s="52">
        <f t="shared" si="78"/>
        <v>0</v>
      </c>
      <c r="AY45" s="74">
        <f t="shared" si="79"/>
        <v>0</v>
      </c>
      <c r="AZ45" s="78">
        <f t="shared" si="80"/>
        <v>0</v>
      </c>
      <c r="BA45" s="87">
        <f t="shared" si="81"/>
        <v>0</v>
      </c>
      <c r="BB45" s="110">
        <f t="shared" si="82"/>
        <v>17871.758454157614</v>
      </c>
      <c r="BC45" s="69">
        <f t="shared" si="83"/>
        <v>13.403818840618211</v>
      </c>
      <c r="BD45" s="42">
        <f t="shared" si="84"/>
        <v>12928.9236132437</v>
      </c>
      <c r="BE45" s="79">
        <f t="shared" si="85"/>
        <v>9.6966927099327744</v>
      </c>
      <c r="BF45" s="117" t="e">
        <f t="shared" si="122"/>
        <v>#NUM!</v>
      </c>
      <c r="BG45" s="118" t="e">
        <f t="shared" si="123"/>
        <v>#NUM!</v>
      </c>
      <c r="BH45" s="117">
        <f t="shared" si="124"/>
        <v>3.9418515684774288E-4</v>
      </c>
      <c r="BI45" s="118">
        <f t="shared" si="125"/>
        <v>1.0542290881294061E-2</v>
      </c>
      <c r="BJ45" s="117">
        <f t="shared" si="126"/>
        <v>0</v>
      </c>
      <c r="BK45" s="118">
        <f t="shared" si="127"/>
        <v>0</v>
      </c>
      <c r="BL45" s="91">
        <f t="shared" si="128"/>
        <v>0</v>
      </c>
      <c r="BM45" s="93">
        <f t="shared" si="129"/>
        <v>0</v>
      </c>
      <c r="BN45" s="91">
        <f t="shared" si="130"/>
        <v>0</v>
      </c>
      <c r="BO45" s="93">
        <f t="shared" si="131"/>
        <v>0</v>
      </c>
      <c r="BP45" s="91">
        <f t="shared" si="132"/>
        <v>0</v>
      </c>
      <c r="BQ45" s="93">
        <f t="shared" si="133"/>
        <v>0</v>
      </c>
      <c r="BR45" s="91">
        <f t="shared" si="134"/>
        <v>0</v>
      </c>
      <c r="BS45" s="93">
        <f t="shared" si="135"/>
        <v>0</v>
      </c>
      <c r="BT45" s="188">
        <f t="shared" si="136"/>
        <v>0</v>
      </c>
      <c r="BU45" s="93">
        <f t="shared" si="137"/>
        <v>0</v>
      </c>
      <c r="BV45" s="117" t="e">
        <f t="shared" si="86"/>
        <v>#NUM!</v>
      </c>
      <c r="BW45" s="206" t="e">
        <f t="shared" si="87"/>
        <v>#NUM!</v>
      </c>
      <c r="BX45" s="206" t="e">
        <f t="shared" si="88"/>
        <v>#NUM!</v>
      </c>
      <c r="BY45" s="97" t="e">
        <f t="shared" si="89"/>
        <v>#NUM!</v>
      </c>
      <c r="BZ45" s="123" t="e">
        <f t="shared" si="90"/>
        <v>#NUM!</v>
      </c>
      <c r="CA45" s="91">
        <f t="shared" si="91"/>
        <v>1.55750707731216E-3</v>
      </c>
      <c r="CB45" s="92">
        <f t="shared" si="138"/>
        <v>2.5000000000000001E-3</v>
      </c>
      <c r="CC45" s="92">
        <f t="shared" si="139"/>
        <v>0</v>
      </c>
      <c r="CD45" s="92">
        <f t="shared" si="140"/>
        <v>0</v>
      </c>
      <c r="CE45" s="92">
        <f t="shared" si="141"/>
        <v>0</v>
      </c>
      <c r="CF45" s="92">
        <f t="shared" si="142"/>
        <v>0</v>
      </c>
      <c r="CG45" s="92">
        <f t="shared" si="143"/>
        <v>0</v>
      </c>
      <c r="CH45" s="92">
        <f t="shared" si="144"/>
        <v>0</v>
      </c>
      <c r="CI45" s="127">
        <f t="shared" si="92"/>
        <v>4.0575070773121603E-3</v>
      </c>
      <c r="CJ45" s="91">
        <f t="shared" si="93"/>
        <v>1.1125050552229713E-4</v>
      </c>
      <c r="CK45" s="92">
        <f t="shared" si="145"/>
        <v>3.3750000000000009E-2</v>
      </c>
      <c r="CL45" s="92">
        <f t="shared" si="146"/>
        <v>8.1000000000000016E-2</v>
      </c>
      <c r="CM45" s="127">
        <f t="shared" si="94"/>
        <v>0.11486125050552232</v>
      </c>
      <c r="CN45" s="91">
        <f t="shared" si="147"/>
        <v>0.15</v>
      </c>
      <c r="CO45" s="92">
        <f t="shared" si="148"/>
        <v>0</v>
      </c>
      <c r="CP45" s="92">
        <f t="shared" si="149"/>
        <v>0</v>
      </c>
      <c r="CQ45" s="92">
        <f t="shared" si="150"/>
        <v>0</v>
      </c>
      <c r="CR45" s="92">
        <f t="shared" si="151"/>
        <v>0</v>
      </c>
      <c r="CS45" s="92">
        <f t="shared" si="152"/>
        <v>0</v>
      </c>
      <c r="CT45" s="92">
        <f t="shared" si="153"/>
        <v>0</v>
      </c>
      <c r="CU45" s="127">
        <f t="shared" si="154"/>
        <v>0.15</v>
      </c>
      <c r="CV45" s="231">
        <f t="shared" si="155"/>
        <v>3.2188854673482592E-2</v>
      </c>
      <c r="CW45" s="188">
        <f t="shared" si="156"/>
        <v>0.3011076122563171</v>
      </c>
      <c r="CX45" s="206">
        <f t="shared" si="157"/>
        <v>7.8011076122563168</v>
      </c>
      <c r="CY45" s="231">
        <f t="shared" si="158"/>
        <v>0.96140194095217368</v>
      </c>
      <c r="CZ45">
        <f t="shared" si="159"/>
        <v>90.28</v>
      </c>
      <c r="DA45">
        <f t="shared" si="160"/>
        <v>837.40951298897346</v>
      </c>
      <c r="DD45" s="22">
        <v>60000</v>
      </c>
      <c r="DE45" s="22">
        <f t="shared" si="95"/>
        <v>376991.11843077518</v>
      </c>
      <c r="DF45" s="91">
        <f t="shared" si="96"/>
        <v>-7.544611575039962</v>
      </c>
      <c r="DG45" s="93">
        <f t="shared" si="97"/>
        <v>-63.813120011465656</v>
      </c>
      <c r="DH45" s="91">
        <f t="shared" si="98"/>
        <v>-36.993520445669134</v>
      </c>
      <c r="DI45" s="92">
        <f t="shared" si="99"/>
        <v>101.03060164923276</v>
      </c>
      <c r="DJ45" s="92">
        <f t="shared" si="55"/>
        <v>-19.672278725924961</v>
      </c>
      <c r="DK45" s="93">
        <f t="shared" si="100"/>
        <v>104.15068509968262</v>
      </c>
      <c r="DL45" s="91">
        <f t="shared" si="101"/>
        <v>-44.538132020709099</v>
      </c>
      <c r="DM45" s="92">
        <f t="shared" si="102"/>
        <v>37.217481637767108</v>
      </c>
      <c r="DN45" s="92">
        <f t="shared" si="103"/>
        <v>-27.216890300964923</v>
      </c>
      <c r="DO45" s="93">
        <f t="shared" si="104"/>
        <v>40.337565088216962</v>
      </c>
    </row>
    <row r="46" spans="1:119" ht="15" x14ac:dyDescent="0.25">
      <c r="A46" s="12" t="s">
        <v>391</v>
      </c>
      <c r="B46" s="190">
        <f>COUT3_FlyB_DCM</f>
        <v>0</v>
      </c>
      <c r="C46" s="12" t="s">
        <v>343</v>
      </c>
      <c r="K46" s="58">
        <v>42</v>
      </c>
      <c r="L46" s="131">
        <f t="shared" si="56"/>
        <v>51.36</v>
      </c>
      <c r="M46" s="130">
        <f t="shared" si="57"/>
        <v>0.14602803738317757</v>
      </c>
      <c r="N46" s="132">
        <f t="shared" si="0"/>
        <v>0.26961062857112783</v>
      </c>
      <c r="O46" s="52">
        <f t="shared" si="58"/>
        <v>0.19064350374261202</v>
      </c>
      <c r="P46" s="21">
        <f t="shared" si="59"/>
        <v>0.54162567016401175</v>
      </c>
      <c r="Q46" s="19">
        <f t="shared" si="60"/>
        <v>1.0832513403280237</v>
      </c>
      <c r="R46" s="6">
        <f t="shared" si="105"/>
        <v>0.6927171013909792</v>
      </c>
      <c r="S46" s="55">
        <f t="shared" si="61"/>
        <v>0.32474099137702328</v>
      </c>
      <c r="T46" s="133">
        <f t="shared" si="62"/>
        <v>0.29005607005982348</v>
      </c>
      <c r="U46" s="54">
        <f t="shared" si="106"/>
        <v>0.34618004708532812</v>
      </c>
      <c r="V46" s="21">
        <f t="shared" si="107"/>
        <v>2.8886702408747298</v>
      </c>
      <c r="W46" s="21">
        <f t="shared" si="64"/>
        <v>0.9812696267038824</v>
      </c>
      <c r="X46" s="63">
        <f t="shared" si="65"/>
        <v>0.84432818281257005</v>
      </c>
      <c r="Y46" s="54">
        <f t="shared" si="108"/>
        <v>0</v>
      </c>
      <c r="Z46" s="21">
        <f t="shared" si="109"/>
        <v>0</v>
      </c>
      <c r="AA46" s="21">
        <f t="shared" si="66"/>
        <v>0</v>
      </c>
      <c r="AB46" s="63">
        <f t="shared" si="67"/>
        <v>0</v>
      </c>
      <c r="AC46" s="52">
        <f t="shared" si="110"/>
        <v>0</v>
      </c>
      <c r="AD46" s="21">
        <f t="shared" si="111"/>
        <v>0</v>
      </c>
      <c r="AE46" s="21">
        <f t="shared" si="68"/>
        <v>0</v>
      </c>
      <c r="AF46" s="63">
        <f t="shared" si="69"/>
        <v>0</v>
      </c>
      <c r="AG46" s="52">
        <f t="shared" si="112"/>
        <v>0</v>
      </c>
      <c r="AH46" s="21">
        <f t="shared" si="113"/>
        <v>0</v>
      </c>
      <c r="AI46" s="21">
        <f t="shared" si="70"/>
        <v>0</v>
      </c>
      <c r="AJ46" s="63">
        <f t="shared" si="71"/>
        <v>0</v>
      </c>
      <c r="AK46" s="52">
        <f t="shared" si="114"/>
        <v>0</v>
      </c>
      <c r="AL46" s="21">
        <f t="shared" si="115"/>
        <v>0</v>
      </c>
      <c r="AM46" s="21">
        <f t="shared" si="72"/>
        <v>0</v>
      </c>
      <c r="AN46" s="63">
        <f t="shared" si="73"/>
        <v>0</v>
      </c>
      <c r="AO46" s="52">
        <f t="shared" si="116"/>
        <v>0</v>
      </c>
      <c r="AP46" s="21">
        <f t="shared" si="117"/>
        <v>0</v>
      </c>
      <c r="AQ46" s="21">
        <f t="shared" si="75"/>
        <v>0</v>
      </c>
      <c r="AR46" s="181">
        <f t="shared" si="76"/>
        <v>0</v>
      </c>
      <c r="AS46" s="52">
        <f t="shared" si="118"/>
        <v>0</v>
      </c>
      <c r="AT46" s="21">
        <f t="shared" si="119"/>
        <v>0</v>
      </c>
      <c r="AU46" s="21">
        <f t="shared" si="120"/>
        <v>0</v>
      </c>
      <c r="AV46" s="63">
        <f t="shared" si="121"/>
        <v>0</v>
      </c>
      <c r="AW46" s="182">
        <f t="shared" si="77"/>
        <v>0.38852979470856125</v>
      </c>
      <c r="AX46" s="52">
        <f t="shared" si="78"/>
        <v>0</v>
      </c>
      <c r="AY46" s="74">
        <f t="shared" si="79"/>
        <v>0</v>
      </c>
      <c r="AZ46" s="78">
        <f t="shared" si="80"/>
        <v>0</v>
      </c>
      <c r="BA46" s="87">
        <f t="shared" si="81"/>
        <v>0</v>
      </c>
      <c r="BB46" s="110">
        <f t="shared" si="82"/>
        <v>17871.758454157614</v>
      </c>
      <c r="BC46" s="69">
        <f t="shared" si="83"/>
        <v>13.403818840618211</v>
      </c>
      <c r="BD46" s="42">
        <f t="shared" si="84"/>
        <v>12928.9236132437</v>
      </c>
      <c r="BE46" s="79">
        <f t="shared" si="85"/>
        <v>9.6966927099327744</v>
      </c>
      <c r="BF46" s="117" t="e">
        <f t="shared" si="122"/>
        <v>#NUM!</v>
      </c>
      <c r="BG46" s="118" t="e">
        <f t="shared" si="123"/>
        <v>#NUM!</v>
      </c>
      <c r="BH46" s="117">
        <f t="shared" si="124"/>
        <v>3.9418515684774288E-4</v>
      </c>
      <c r="BI46" s="118">
        <f t="shared" si="125"/>
        <v>1.0542290881294061E-2</v>
      </c>
      <c r="BJ46" s="117">
        <f t="shared" si="126"/>
        <v>0</v>
      </c>
      <c r="BK46" s="118">
        <f t="shared" si="127"/>
        <v>0</v>
      </c>
      <c r="BL46" s="91">
        <f t="shared" si="128"/>
        <v>0</v>
      </c>
      <c r="BM46" s="93">
        <f t="shared" si="129"/>
        <v>0</v>
      </c>
      <c r="BN46" s="91">
        <f t="shared" si="130"/>
        <v>0</v>
      </c>
      <c r="BO46" s="93">
        <f t="shared" si="131"/>
        <v>0</v>
      </c>
      <c r="BP46" s="91">
        <f t="shared" si="132"/>
        <v>0</v>
      </c>
      <c r="BQ46" s="93">
        <f t="shared" si="133"/>
        <v>0</v>
      </c>
      <c r="BR46" s="91">
        <f t="shared" si="134"/>
        <v>0</v>
      </c>
      <c r="BS46" s="93">
        <f t="shared" si="135"/>
        <v>0</v>
      </c>
      <c r="BT46" s="188">
        <f t="shared" si="136"/>
        <v>0</v>
      </c>
      <c r="BU46" s="93">
        <f t="shared" si="137"/>
        <v>0</v>
      </c>
      <c r="BV46" s="117" t="e">
        <f t="shared" si="86"/>
        <v>#NUM!</v>
      </c>
      <c r="BW46" s="206" t="e">
        <f t="shared" si="87"/>
        <v>#NUM!</v>
      </c>
      <c r="BX46" s="206" t="e">
        <f t="shared" si="88"/>
        <v>#NUM!</v>
      </c>
      <c r="BY46" s="97" t="e">
        <f t="shared" si="89"/>
        <v>#NUM!</v>
      </c>
      <c r="BZ46" s="123" t="e">
        <f t="shared" si="90"/>
        <v>#NUM!</v>
      </c>
      <c r="CA46" s="91">
        <f t="shared" si="91"/>
        <v>1.4926931391387895E-3</v>
      </c>
      <c r="CB46" s="92">
        <f t="shared" si="138"/>
        <v>2.5000000000000001E-3</v>
      </c>
      <c r="CC46" s="92">
        <f t="shared" si="139"/>
        <v>0</v>
      </c>
      <c r="CD46" s="92">
        <f t="shared" si="140"/>
        <v>0</v>
      </c>
      <c r="CE46" s="92">
        <f t="shared" si="141"/>
        <v>0</v>
      </c>
      <c r="CF46" s="92">
        <f t="shared" si="142"/>
        <v>0</v>
      </c>
      <c r="CG46" s="92">
        <f t="shared" si="143"/>
        <v>0</v>
      </c>
      <c r="CH46" s="92">
        <f t="shared" si="144"/>
        <v>0</v>
      </c>
      <c r="CI46" s="127">
        <f t="shared" si="92"/>
        <v>3.9926931391387893E-3</v>
      </c>
      <c r="CJ46" s="91">
        <f t="shared" si="93"/>
        <v>1.0662093850991353E-4</v>
      </c>
      <c r="CK46" s="92">
        <f t="shared" si="145"/>
        <v>3.3750000000000002E-2</v>
      </c>
      <c r="CL46" s="92">
        <f t="shared" si="146"/>
        <v>8.1000000000000016E-2</v>
      </c>
      <c r="CM46" s="127">
        <f t="shared" si="94"/>
        <v>0.11485662093850993</v>
      </c>
      <c r="CN46" s="91">
        <f t="shared" si="147"/>
        <v>0.15</v>
      </c>
      <c r="CO46" s="92">
        <f t="shared" si="148"/>
        <v>0</v>
      </c>
      <c r="CP46" s="92">
        <f t="shared" si="149"/>
        <v>0</v>
      </c>
      <c r="CQ46" s="92">
        <f t="shared" si="150"/>
        <v>0</v>
      </c>
      <c r="CR46" s="92">
        <f t="shared" si="151"/>
        <v>0</v>
      </c>
      <c r="CS46" s="92">
        <f t="shared" si="152"/>
        <v>0</v>
      </c>
      <c r="CT46" s="92">
        <f t="shared" si="153"/>
        <v>0</v>
      </c>
      <c r="CU46" s="127">
        <f t="shared" si="154"/>
        <v>0.15</v>
      </c>
      <c r="CV46" s="231">
        <f t="shared" si="155"/>
        <v>3.1873333576210069E-2</v>
      </c>
      <c r="CW46" s="188">
        <f t="shared" si="156"/>
        <v>0.30072264765385881</v>
      </c>
      <c r="CX46" s="206">
        <f t="shared" si="157"/>
        <v>7.8007226476538589</v>
      </c>
      <c r="CY46" s="231">
        <f t="shared" si="158"/>
        <v>0.96144938600729457</v>
      </c>
      <c r="CZ46">
        <f t="shared" si="159"/>
        <v>91.36</v>
      </c>
      <c r="DA46">
        <f t="shared" si="160"/>
        <v>838.48951298897362</v>
      </c>
      <c r="DD46" s="22">
        <v>70000</v>
      </c>
      <c r="DE46" s="22">
        <f t="shared" si="95"/>
        <v>439822.97150257102</v>
      </c>
      <c r="DF46" s="91">
        <f t="shared" si="96"/>
        <v>-8.5899659650114195</v>
      </c>
      <c r="DG46" s="93">
        <f t="shared" si="97"/>
        <v>-60.173574591694013</v>
      </c>
      <c r="DH46" s="91">
        <f t="shared" si="98"/>
        <v>-38.285234976603718</v>
      </c>
      <c r="DI46" s="92">
        <f t="shared" si="99"/>
        <v>99.491385977810907</v>
      </c>
      <c r="DJ46" s="92">
        <f t="shared" si="55"/>
        <v>-20.939499495646356</v>
      </c>
      <c r="DK46" s="93">
        <f t="shared" si="100"/>
        <v>102.19775199860109</v>
      </c>
      <c r="DL46" s="91">
        <f t="shared" si="101"/>
        <v>-46.875200941615134</v>
      </c>
      <c r="DM46" s="92">
        <f t="shared" si="102"/>
        <v>39.317811386116894</v>
      </c>
      <c r="DN46" s="92">
        <f t="shared" si="103"/>
        <v>-29.529465460657775</v>
      </c>
      <c r="DO46" s="93">
        <f t="shared" si="104"/>
        <v>42.024177406907079</v>
      </c>
    </row>
    <row r="47" spans="1:119" ht="15" x14ac:dyDescent="0.25">
      <c r="A47" s="12" t="s">
        <v>392</v>
      </c>
      <c r="B47" s="190">
        <f>IF(AND(Vout4&lt;&gt;0,Iout4&lt;&gt;0,Vout4_Ripple&lt;&gt;0),(Iout4*B7)/(Fsw*Vout4_Ripple*(10^-3)),0)</f>
        <v>0</v>
      </c>
      <c r="C47" s="12" t="s">
        <v>343</v>
      </c>
      <c r="K47" s="58">
        <v>43</v>
      </c>
      <c r="L47" s="131">
        <f t="shared" si="56"/>
        <v>52.440000000000005</v>
      </c>
      <c r="M47" s="130">
        <f t="shared" si="57"/>
        <v>0.14302059496567507</v>
      </c>
      <c r="N47" s="132">
        <f t="shared" si="0"/>
        <v>0.26405800693007481</v>
      </c>
      <c r="O47" s="52">
        <f t="shared" si="58"/>
        <v>0.18671720732686026</v>
      </c>
      <c r="P47" s="21">
        <f t="shared" si="59"/>
        <v>0.54162567016401186</v>
      </c>
      <c r="Q47" s="19">
        <f t="shared" si="60"/>
        <v>1.0832513403280235</v>
      </c>
      <c r="R47" s="6">
        <f t="shared" si="105"/>
        <v>0.68935568952607418</v>
      </c>
      <c r="S47" s="55">
        <f t="shared" si="61"/>
        <v>0.32137957951211821</v>
      </c>
      <c r="T47" s="133">
        <f t="shared" si="62"/>
        <v>0.28780191719835752</v>
      </c>
      <c r="U47" s="54">
        <f t="shared" si="106"/>
        <v>0.34618004708532812</v>
      </c>
      <c r="V47" s="21">
        <f t="shared" si="107"/>
        <v>2.8886702408747298</v>
      </c>
      <c r="W47" s="21">
        <f t="shared" si="64"/>
        <v>0.9812696267038824</v>
      </c>
      <c r="X47" s="63">
        <f t="shared" si="65"/>
        <v>0.84432818281257005</v>
      </c>
      <c r="Y47" s="54">
        <f t="shared" si="108"/>
        <v>0</v>
      </c>
      <c r="Z47" s="21">
        <f t="shared" si="109"/>
        <v>0</v>
      </c>
      <c r="AA47" s="21">
        <f t="shared" si="66"/>
        <v>0</v>
      </c>
      <c r="AB47" s="63">
        <f t="shared" si="67"/>
        <v>0</v>
      </c>
      <c r="AC47" s="52">
        <f t="shared" si="110"/>
        <v>0</v>
      </c>
      <c r="AD47" s="21">
        <f t="shared" si="111"/>
        <v>0</v>
      </c>
      <c r="AE47" s="21">
        <f t="shared" si="68"/>
        <v>0</v>
      </c>
      <c r="AF47" s="63">
        <f t="shared" si="69"/>
        <v>0</v>
      </c>
      <c r="AG47" s="52">
        <f t="shared" si="112"/>
        <v>0</v>
      </c>
      <c r="AH47" s="21">
        <f t="shared" si="113"/>
        <v>0</v>
      </c>
      <c r="AI47" s="21">
        <f t="shared" si="70"/>
        <v>0</v>
      </c>
      <c r="AJ47" s="63">
        <f t="shared" si="71"/>
        <v>0</v>
      </c>
      <c r="AK47" s="52">
        <f t="shared" si="114"/>
        <v>0</v>
      </c>
      <c r="AL47" s="21">
        <f t="shared" si="115"/>
        <v>0</v>
      </c>
      <c r="AM47" s="21">
        <f t="shared" si="72"/>
        <v>0</v>
      </c>
      <c r="AN47" s="63">
        <f t="shared" si="73"/>
        <v>0</v>
      </c>
      <c r="AO47" s="52">
        <f t="shared" si="116"/>
        <v>0</v>
      </c>
      <c r="AP47" s="21">
        <f t="shared" si="117"/>
        <v>0</v>
      </c>
      <c r="AQ47" s="21">
        <f t="shared" si="75"/>
        <v>0</v>
      </c>
      <c r="AR47" s="181">
        <f t="shared" si="76"/>
        <v>0</v>
      </c>
      <c r="AS47" s="52">
        <f t="shared" si="118"/>
        <v>0</v>
      </c>
      <c r="AT47" s="21">
        <f t="shared" si="119"/>
        <v>0</v>
      </c>
      <c r="AU47" s="21">
        <f t="shared" si="120"/>
        <v>0</v>
      </c>
      <c r="AV47" s="63">
        <f t="shared" si="121"/>
        <v>0</v>
      </c>
      <c r="AW47" s="182">
        <f t="shared" si="77"/>
        <v>0.38852979470856125</v>
      </c>
      <c r="AX47" s="52">
        <f t="shared" si="78"/>
        <v>0</v>
      </c>
      <c r="AY47" s="74">
        <f t="shared" si="79"/>
        <v>0</v>
      </c>
      <c r="AZ47" s="78">
        <f t="shared" si="80"/>
        <v>0</v>
      </c>
      <c r="BA47" s="87">
        <f t="shared" si="81"/>
        <v>0</v>
      </c>
      <c r="BB47" s="110">
        <f t="shared" si="82"/>
        <v>17871.758454157614</v>
      </c>
      <c r="BC47" s="69">
        <f t="shared" si="83"/>
        <v>13.403818840618211</v>
      </c>
      <c r="BD47" s="42">
        <f t="shared" si="84"/>
        <v>12928.9236132437</v>
      </c>
      <c r="BE47" s="79">
        <f t="shared" si="85"/>
        <v>9.6966927099327744</v>
      </c>
      <c r="BF47" s="117" t="e">
        <f t="shared" si="122"/>
        <v>#NUM!</v>
      </c>
      <c r="BG47" s="118" t="e">
        <f t="shared" si="123"/>
        <v>#NUM!</v>
      </c>
      <c r="BH47" s="117">
        <f t="shared" si="124"/>
        <v>3.9418515684774288E-4</v>
      </c>
      <c r="BI47" s="118">
        <f t="shared" si="125"/>
        <v>1.0542290881294061E-2</v>
      </c>
      <c r="BJ47" s="117">
        <f t="shared" si="126"/>
        <v>0</v>
      </c>
      <c r="BK47" s="118">
        <f t="shared" si="127"/>
        <v>0</v>
      </c>
      <c r="BL47" s="91">
        <f t="shared" si="128"/>
        <v>0</v>
      </c>
      <c r="BM47" s="93">
        <f t="shared" si="129"/>
        <v>0</v>
      </c>
      <c r="BN47" s="91">
        <f t="shared" si="130"/>
        <v>0</v>
      </c>
      <c r="BO47" s="93">
        <f t="shared" si="131"/>
        <v>0</v>
      </c>
      <c r="BP47" s="91">
        <f t="shared" si="132"/>
        <v>0</v>
      </c>
      <c r="BQ47" s="93">
        <f t="shared" si="133"/>
        <v>0</v>
      </c>
      <c r="BR47" s="91">
        <f t="shared" si="134"/>
        <v>0</v>
      </c>
      <c r="BS47" s="93">
        <f t="shared" si="135"/>
        <v>0</v>
      </c>
      <c r="BT47" s="188">
        <f t="shared" si="136"/>
        <v>0</v>
      </c>
      <c r="BU47" s="93">
        <f t="shared" si="137"/>
        <v>0</v>
      </c>
      <c r="BV47" s="117" t="e">
        <f t="shared" si="86"/>
        <v>#NUM!</v>
      </c>
      <c r="BW47" s="206" t="e">
        <f t="shared" si="87"/>
        <v>#NUM!</v>
      </c>
      <c r="BX47" s="206" t="e">
        <f t="shared" si="88"/>
        <v>#NUM!</v>
      </c>
      <c r="BY47" s="97" t="e">
        <f t="shared" si="89"/>
        <v>#NUM!</v>
      </c>
      <c r="BZ47" s="123" t="e">
        <f t="shared" si="90"/>
        <v>#NUM!</v>
      </c>
      <c r="CA47" s="91">
        <f t="shared" si="91"/>
        <v>1.4318423409034977E-3</v>
      </c>
      <c r="CB47" s="92">
        <f t="shared" si="138"/>
        <v>2.5000000000000001E-3</v>
      </c>
      <c r="CC47" s="92">
        <f t="shared" si="139"/>
        <v>0</v>
      </c>
      <c r="CD47" s="92">
        <f t="shared" si="140"/>
        <v>0</v>
      </c>
      <c r="CE47" s="92">
        <f t="shared" si="141"/>
        <v>0</v>
      </c>
      <c r="CF47" s="92">
        <f t="shared" si="142"/>
        <v>0</v>
      </c>
      <c r="CG47" s="92">
        <f t="shared" si="143"/>
        <v>0</v>
      </c>
      <c r="CH47" s="92">
        <f t="shared" si="144"/>
        <v>0</v>
      </c>
      <c r="CI47" s="127">
        <f t="shared" si="92"/>
        <v>3.9318423409034978E-3</v>
      </c>
      <c r="CJ47" s="91">
        <f t="shared" si="93"/>
        <v>1.0227445292167841E-4</v>
      </c>
      <c r="CK47" s="92">
        <f t="shared" si="145"/>
        <v>3.3750000000000009E-2</v>
      </c>
      <c r="CL47" s="92">
        <f t="shared" si="146"/>
        <v>8.1000000000000016E-2</v>
      </c>
      <c r="CM47" s="127">
        <f t="shared" si="94"/>
        <v>0.1148522744529217</v>
      </c>
      <c r="CN47" s="91">
        <f t="shared" si="147"/>
        <v>0.15</v>
      </c>
      <c r="CO47" s="92">
        <f t="shared" si="148"/>
        <v>0</v>
      </c>
      <c r="CP47" s="92">
        <f t="shared" si="149"/>
        <v>0</v>
      </c>
      <c r="CQ47" s="92">
        <f t="shared" si="150"/>
        <v>0</v>
      </c>
      <c r="CR47" s="92">
        <f t="shared" si="151"/>
        <v>0</v>
      </c>
      <c r="CS47" s="92">
        <f t="shared" si="152"/>
        <v>0</v>
      </c>
      <c r="CT47" s="92">
        <f t="shared" si="153"/>
        <v>0</v>
      </c>
      <c r="CU47" s="127">
        <f t="shared" si="154"/>
        <v>0.15</v>
      </c>
      <c r="CV47" s="231">
        <f t="shared" si="155"/>
        <v>3.1550028952554363E-2</v>
      </c>
      <c r="CW47" s="188">
        <f t="shared" si="156"/>
        <v>0.30033414574637951</v>
      </c>
      <c r="CX47" s="206">
        <f t="shared" si="157"/>
        <v>7.8003341457463797</v>
      </c>
      <c r="CY47" s="231">
        <f t="shared" si="158"/>
        <v>0.9614972717662158</v>
      </c>
      <c r="CZ47">
        <f t="shared" si="159"/>
        <v>92.44</v>
      </c>
      <c r="DA47">
        <f t="shared" si="160"/>
        <v>839.56951298897354</v>
      </c>
      <c r="DD47" s="22">
        <v>80000</v>
      </c>
      <c r="DE47" s="22">
        <f t="shared" si="95"/>
        <v>502654.82457436691</v>
      </c>
      <c r="DF47" s="91">
        <f t="shared" si="96"/>
        <v>-9.4340180983260424</v>
      </c>
      <c r="DG47" s="93">
        <f t="shared" si="97"/>
        <v>-56.778885967810922</v>
      </c>
      <c r="DH47" s="91">
        <f t="shared" si="98"/>
        <v>-39.414146760567547</v>
      </c>
      <c r="DI47" s="92">
        <f t="shared" si="99"/>
        <v>98.325966141691495</v>
      </c>
      <c r="DJ47" s="92">
        <f t="shared" si="55"/>
        <v>-22.052150411477875</v>
      </c>
      <c r="DK47" s="93">
        <f t="shared" si="100"/>
        <v>100.71263520289246</v>
      </c>
      <c r="DL47" s="91">
        <f t="shared" si="101"/>
        <v>-48.84816485889359</v>
      </c>
      <c r="DM47" s="92">
        <f t="shared" si="102"/>
        <v>41.547080173880573</v>
      </c>
      <c r="DN47" s="92">
        <f t="shared" si="103"/>
        <v>-31.486168509803917</v>
      </c>
      <c r="DO47" s="93">
        <f t="shared" si="104"/>
        <v>43.933749235081535</v>
      </c>
    </row>
    <row r="48" spans="1:119" ht="15" x14ac:dyDescent="0.25">
      <c r="A48" s="12" t="s">
        <v>393</v>
      </c>
      <c r="B48" s="190">
        <f>COUT4_FlyB_DCM</f>
        <v>0</v>
      </c>
      <c r="C48" s="12" t="s">
        <v>343</v>
      </c>
      <c r="K48" s="58">
        <v>44</v>
      </c>
      <c r="L48" s="131">
        <f t="shared" si="56"/>
        <v>53.52</v>
      </c>
      <c r="M48" s="130">
        <f t="shared" si="57"/>
        <v>0.14013452914798205</v>
      </c>
      <c r="N48" s="132">
        <f t="shared" si="0"/>
        <v>0.25872948212655317</v>
      </c>
      <c r="O48" s="52">
        <f t="shared" si="58"/>
        <v>0.18294937130456937</v>
      </c>
      <c r="P48" s="21">
        <f t="shared" si="59"/>
        <v>0.54162567016401175</v>
      </c>
      <c r="Q48" s="19">
        <f t="shared" si="60"/>
        <v>1.0832513403280237</v>
      </c>
      <c r="R48" s="6">
        <f t="shared" si="105"/>
        <v>0.6860965447822871</v>
      </c>
      <c r="S48" s="55">
        <f t="shared" si="61"/>
        <v>0.31812043476833124</v>
      </c>
      <c r="T48" s="133">
        <f t="shared" si="62"/>
        <v>0.28559223511444681</v>
      </c>
      <c r="U48" s="54">
        <f t="shared" si="106"/>
        <v>0.34618004708532812</v>
      </c>
      <c r="V48" s="21">
        <f t="shared" si="107"/>
        <v>2.8886702408747298</v>
      </c>
      <c r="W48" s="21">
        <f t="shared" si="64"/>
        <v>0.9812696267038824</v>
      </c>
      <c r="X48" s="63">
        <f t="shared" si="65"/>
        <v>0.84432818281257005</v>
      </c>
      <c r="Y48" s="54">
        <f t="shared" si="108"/>
        <v>0</v>
      </c>
      <c r="Z48" s="21">
        <f t="shared" si="109"/>
        <v>0</v>
      </c>
      <c r="AA48" s="21">
        <f t="shared" si="66"/>
        <v>0</v>
      </c>
      <c r="AB48" s="63">
        <f t="shared" si="67"/>
        <v>0</v>
      </c>
      <c r="AC48" s="52">
        <f t="shared" si="110"/>
        <v>0</v>
      </c>
      <c r="AD48" s="21">
        <f t="shared" si="111"/>
        <v>0</v>
      </c>
      <c r="AE48" s="21">
        <f t="shared" si="68"/>
        <v>0</v>
      </c>
      <c r="AF48" s="63">
        <f t="shared" si="69"/>
        <v>0</v>
      </c>
      <c r="AG48" s="52">
        <f t="shared" si="112"/>
        <v>0</v>
      </c>
      <c r="AH48" s="21">
        <f t="shared" si="113"/>
        <v>0</v>
      </c>
      <c r="AI48" s="21">
        <f t="shared" si="70"/>
        <v>0</v>
      </c>
      <c r="AJ48" s="63">
        <f t="shared" si="71"/>
        <v>0</v>
      </c>
      <c r="AK48" s="52">
        <f t="shared" si="114"/>
        <v>0</v>
      </c>
      <c r="AL48" s="21">
        <f t="shared" si="115"/>
        <v>0</v>
      </c>
      <c r="AM48" s="21">
        <f t="shared" si="72"/>
        <v>0</v>
      </c>
      <c r="AN48" s="63">
        <f t="shared" si="73"/>
        <v>0</v>
      </c>
      <c r="AO48" s="52">
        <f t="shared" si="116"/>
        <v>0</v>
      </c>
      <c r="AP48" s="21">
        <f t="shared" si="117"/>
        <v>0</v>
      </c>
      <c r="AQ48" s="21">
        <f t="shared" si="75"/>
        <v>0</v>
      </c>
      <c r="AR48" s="181">
        <f t="shared" si="76"/>
        <v>0</v>
      </c>
      <c r="AS48" s="52">
        <f t="shared" si="118"/>
        <v>0</v>
      </c>
      <c r="AT48" s="21">
        <f t="shared" si="119"/>
        <v>0</v>
      </c>
      <c r="AU48" s="21">
        <f t="shared" si="120"/>
        <v>0</v>
      </c>
      <c r="AV48" s="63">
        <f t="shared" si="121"/>
        <v>0</v>
      </c>
      <c r="AW48" s="182">
        <f t="shared" si="77"/>
        <v>0.38852979470856125</v>
      </c>
      <c r="AX48" s="52">
        <f t="shared" si="78"/>
        <v>0</v>
      </c>
      <c r="AY48" s="74">
        <f t="shared" si="79"/>
        <v>0</v>
      </c>
      <c r="AZ48" s="78">
        <f t="shared" si="80"/>
        <v>0</v>
      </c>
      <c r="BA48" s="87">
        <f t="shared" si="81"/>
        <v>0</v>
      </c>
      <c r="BB48" s="110">
        <f t="shared" si="82"/>
        <v>17871.758454157614</v>
      </c>
      <c r="BC48" s="69">
        <f t="shared" si="83"/>
        <v>13.403818840618211</v>
      </c>
      <c r="BD48" s="42">
        <f t="shared" si="84"/>
        <v>12928.9236132437</v>
      </c>
      <c r="BE48" s="79">
        <f t="shared" si="85"/>
        <v>9.6966927099327744</v>
      </c>
      <c r="BF48" s="117" t="e">
        <f t="shared" si="122"/>
        <v>#NUM!</v>
      </c>
      <c r="BG48" s="118" t="e">
        <f t="shared" si="123"/>
        <v>#NUM!</v>
      </c>
      <c r="BH48" s="117">
        <f t="shared" si="124"/>
        <v>3.9418515684774288E-4</v>
      </c>
      <c r="BI48" s="118">
        <f t="shared" si="125"/>
        <v>1.0542290881294061E-2</v>
      </c>
      <c r="BJ48" s="117">
        <f t="shared" si="126"/>
        <v>0</v>
      </c>
      <c r="BK48" s="118">
        <f t="shared" si="127"/>
        <v>0</v>
      </c>
      <c r="BL48" s="91">
        <f t="shared" si="128"/>
        <v>0</v>
      </c>
      <c r="BM48" s="93">
        <f t="shared" si="129"/>
        <v>0</v>
      </c>
      <c r="BN48" s="91">
        <f t="shared" si="130"/>
        <v>0</v>
      </c>
      <c r="BO48" s="93">
        <f t="shared" si="131"/>
        <v>0</v>
      </c>
      <c r="BP48" s="91">
        <f t="shared" si="132"/>
        <v>0</v>
      </c>
      <c r="BQ48" s="93">
        <f t="shared" si="133"/>
        <v>0</v>
      </c>
      <c r="BR48" s="91">
        <f t="shared" si="134"/>
        <v>0</v>
      </c>
      <c r="BS48" s="93">
        <f t="shared" si="135"/>
        <v>0</v>
      </c>
      <c r="BT48" s="188">
        <f t="shared" si="136"/>
        <v>0</v>
      </c>
      <c r="BU48" s="93">
        <f t="shared" si="137"/>
        <v>0</v>
      </c>
      <c r="BV48" s="117" t="e">
        <f t="shared" si="86"/>
        <v>#NUM!</v>
      </c>
      <c r="BW48" s="206" t="e">
        <f t="shared" si="87"/>
        <v>#NUM!</v>
      </c>
      <c r="BX48" s="206" t="e">
        <f t="shared" si="88"/>
        <v>#NUM!</v>
      </c>
      <c r="BY48" s="97" t="e">
        <f t="shared" si="89"/>
        <v>#NUM!</v>
      </c>
      <c r="BZ48" s="123" t="e">
        <f t="shared" si="90"/>
        <v>#NUM!</v>
      </c>
      <c r="CA48" s="91">
        <f t="shared" si="91"/>
        <v>1.3746380381668643E-3</v>
      </c>
      <c r="CB48" s="92">
        <f t="shared" si="138"/>
        <v>2.5000000000000001E-3</v>
      </c>
      <c r="CC48" s="92">
        <f t="shared" si="139"/>
        <v>0</v>
      </c>
      <c r="CD48" s="92">
        <f t="shared" si="140"/>
        <v>0</v>
      </c>
      <c r="CE48" s="92">
        <f t="shared" si="141"/>
        <v>0</v>
      </c>
      <c r="CF48" s="92">
        <f t="shared" si="142"/>
        <v>0</v>
      </c>
      <c r="CG48" s="92">
        <f t="shared" si="143"/>
        <v>0</v>
      </c>
      <c r="CH48" s="92">
        <f t="shared" si="144"/>
        <v>0</v>
      </c>
      <c r="CI48" s="127">
        <f t="shared" si="92"/>
        <v>3.8746380381668643E-3</v>
      </c>
      <c r="CJ48" s="91">
        <f t="shared" si="93"/>
        <v>9.8188431297633163E-5</v>
      </c>
      <c r="CK48" s="92">
        <f t="shared" si="145"/>
        <v>3.3750000000000002E-2</v>
      </c>
      <c r="CL48" s="92">
        <f t="shared" si="146"/>
        <v>8.1000000000000016E-2</v>
      </c>
      <c r="CM48" s="127">
        <f t="shared" si="94"/>
        <v>0.11484818843129765</v>
      </c>
      <c r="CN48" s="91">
        <f t="shared" si="147"/>
        <v>0.15</v>
      </c>
      <c r="CO48" s="92">
        <f t="shared" si="148"/>
        <v>0</v>
      </c>
      <c r="CP48" s="92">
        <f t="shared" si="149"/>
        <v>0</v>
      </c>
      <c r="CQ48" s="92">
        <f t="shared" si="150"/>
        <v>0</v>
      </c>
      <c r="CR48" s="92">
        <f t="shared" si="151"/>
        <v>0</v>
      </c>
      <c r="CS48" s="92">
        <f t="shared" si="152"/>
        <v>0</v>
      </c>
      <c r="CT48" s="92">
        <f t="shared" si="153"/>
        <v>0</v>
      </c>
      <c r="CU48" s="127">
        <f t="shared" si="154"/>
        <v>0.15</v>
      </c>
      <c r="CV48" s="231">
        <f t="shared" si="155"/>
        <v>3.1218649190287502E-2</v>
      </c>
      <c r="CW48" s="188">
        <f t="shared" si="156"/>
        <v>0.29994147565975204</v>
      </c>
      <c r="CX48" s="206">
        <f t="shared" si="157"/>
        <v>7.799941475659752</v>
      </c>
      <c r="CY48" s="231">
        <f t="shared" si="158"/>
        <v>0.96154567613157871</v>
      </c>
      <c r="CZ48">
        <f t="shared" si="159"/>
        <v>93.52000000000001</v>
      </c>
      <c r="DA48">
        <f t="shared" si="160"/>
        <v>840.64951298897358</v>
      </c>
      <c r="DD48" s="22">
        <v>90000</v>
      </c>
      <c r="DE48" s="22">
        <f t="shared" si="95"/>
        <v>565486.6776461628</v>
      </c>
      <c r="DF48" s="91">
        <f t="shared" si="96"/>
        <v>-10.124911310273216</v>
      </c>
      <c r="DG48" s="93">
        <f t="shared" si="97"/>
        <v>-53.627218641340754</v>
      </c>
      <c r="DH48" s="91">
        <f t="shared" si="98"/>
        <v>-40.415864912314269</v>
      </c>
      <c r="DI48" s="92">
        <f t="shared" si="99"/>
        <v>97.413751859648841</v>
      </c>
      <c r="DJ48" s="92">
        <f t="shared" si="55"/>
        <v>-23.042549916596062</v>
      </c>
      <c r="DK48" s="93">
        <f t="shared" si="100"/>
        <v>99.546745140527946</v>
      </c>
      <c r="DL48" s="91">
        <f t="shared" si="101"/>
        <v>-50.540776222587482</v>
      </c>
      <c r="DM48" s="92">
        <f t="shared" si="102"/>
        <v>43.786533218308087</v>
      </c>
      <c r="DN48" s="92">
        <f t="shared" si="103"/>
        <v>-33.167461226869278</v>
      </c>
      <c r="DO48" s="93">
        <f t="shared" si="104"/>
        <v>45.919526499187192</v>
      </c>
    </row>
    <row r="49" spans="1:119" ht="15" x14ac:dyDescent="0.25">
      <c r="A49" s="12" t="s">
        <v>394</v>
      </c>
      <c r="B49" s="190">
        <f>IF(AND(Vout5&lt;&gt;0,Iout5&lt;&gt;0,Vout5_Ripple&lt;&gt;0),(Iout5*B7)/(Fsw*Vout5_Ripple*(10^-3)),0)</f>
        <v>0</v>
      </c>
      <c r="C49" s="12" t="s">
        <v>343</v>
      </c>
      <c r="K49" s="58">
        <v>45</v>
      </c>
      <c r="L49" s="131">
        <f t="shared" si="56"/>
        <v>54.6</v>
      </c>
      <c r="M49" s="130">
        <f t="shared" si="57"/>
        <v>0.13736263736263737</v>
      </c>
      <c r="N49" s="132">
        <f t="shared" si="0"/>
        <v>0.25361175610646747</v>
      </c>
      <c r="O49" s="52">
        <f t="shared" si="58"/>
        <v>0.17933059253151196</v>
      </c>
      <c r="P49" s="21">
        <f t="shared" si="59"/>
        <v>0.54162567016401186</v>
      </c>
      <c r="Q49" s="19">
        <f t="shared" si="60"/>
        <v>1.0832513403280235</v>
      </c>
      <c r="R49" s="6">
        <f t="shared" si="105"/>
        <v>0.68293458456160072</v>
      </c>
      <c r="S49" s="55">
        <f t="shared" si="61"/>
        <v>0.31495847454764481</v>
      </c>
      <c r="T49" s="133">
        <f t="shared" si="62"/>
        <v>0.2834260865660746</v>
      </c>
      <c r="U49" s="54">
        <f t="shared" si="106"/>
        <v>0.34618004708532812</v>
      </c>
      <c r="V49" s="21">
        <f t="shared" si="107"/>
        <v>2.8886702408747298</v>
      </c>
      <c r="W49" s="21">
        <f t="shared" si="64"/>
        <v>0.9812696267038824</v>
      </c>
      <c r="X49" s="63">
        <f t="shared" si="65"/>
        <v>0.84432818281257005</v>
      </c>
      <c r="Y49" s="54">
        <f t="shared" si="108"/>
        <v>0</v>
      </c>
      <c r="Z49" s="21">
        <f t="shared" si="109"/>
        <v>0</v>
      </c>
      <c r="AA49" s="21">
        <f t="shared" si="66"/>
        <v>0</v>
      </c>
      <c r="AB49" s="63">
        <f t="shared" si="67"/>
        <v>0</v>
      </c>
      <c r="AC49" s="52">
        <f t="shared" si="110"/>
        <v>0</v>
      </c>
      <c r="AD49" s="21">
        <f t="shared" si="111"/>
        <v>0</v>
      </c>
      <c r="AE49" s="21">
        <f t="shared" si="68"/>
        <v>0</v>
      </c>
      <c r="AF49" s="63">
        <f t="shared" si="69"/>
        <v>0</v>
      </c>
      <c r="AG49" s="52">
        <f t="shared" si="112"/>
        <v>0</v>
      </c>
      <c r="AH49" s="21">
        <f t="shared" si="113"/>
        <v>0</v>
      </c>
      <c r="AI49" s="21">
        <f t="shared" si="70"/>
        <v>0</v>
      </c>
      <c r="AJ49" s="63">
        <f t="shared" si="71"/>
        <v>0</v>
      </c>
      <c r="AK49" s="52">
        <f t="shared" si="114"/>
        <v>0</v>
      </c>
      <c r="AL49" s="21">
        <f t="shared" si="115"/>
        <v>0</v>
      </c>
      <c r="AM49" s="21">
        <f t="shared" si="72"/>
        <v>0</v>
      </c>
      <c r="AN49" s="63">
        <f t="shared" si="73"/>
        <v>0</v>
      </c>
      <c r="AO49" s="52">
        <f t="shared" si="116"/>
        <v>0</v>
      </c>
      <c r="AP49" s="21">
        <f t="shared" si="117"/>
        <v>0</v>
      </c>
      <c r="AQ49" s="21">
        <f t="shared" si="75"/>
        <v>0</v>
      </c>
      <c r="AR49" s="181">
        <f t="shared" si="76"/>
        <v>0</v>
      </c>
      <c r="AS49" s="52">
        <f t="shared" si="118"/>
        <v>0</v>
      </c>
      <c r="AT49" s="21">
        <f t="shared" si="119"/>
        <v>0</v>
      </c>
      <c r="AU49" s="21">
        <f t="shared" si="120"/>
        <v>0</v>
      </c>
      <c r="AV49" s="63">
        <f t="shared" si="121"/>
        <v>0</v>
      </c>
      <c r="AW49" s="182">
        <f t="shared" si="77"/>
        <v>0.38852979470856125</v>
      </c>
      <c r="AX49" s="52">
        <f t="shared" si="78"/>
        <v>0</v>
      </c>
      <c r="AY49" s="74">
        <f t="shared" si="79"/>
        <v>0</v>
      </c>
      <c r="AZ49" s="78">
        <f t="shared" si="80"/>
        <v>0</v>
      </c>
      <c r="BA49" s="87">
        <f t="shared" si="81"/>
        <v>0</v>
      </c>
      <c r="BB49" s="110">
        <f t="shared" si="82"/>
        <v>17871.758454157614</v>
      </c>
      <c r="BC49" s="69">
        <f t="shared" si="83"/>
        <v>13.403818840618211</v>
      </c>
      <c r="BD49" s="42">
        <f t="shared" si="84"/>
        <v>12928.9236132437</v>
      </c>
      <c r="BE49" s="79">
        <f t="shared" si="85"/>
        <v>9.6966927099327744</v>
      </c>
      <c r="BF49" s="117" t="e">
        <f t="shared" si="122"/>
        <v>#NUM!</v>
      </c>
      <c r="BG49" s="118" t="e">
        <f t="shared" si="123"/>
        <v>#NUM!</v>
      </c>
      <c r="BH49" s="117">
        <f t="shared" si="124"/>
        <v>3.9418515684774288E-4</v>
      </c>
      <c r="BI49" s="118">
        <f t="shared" si="125"/>
        <v>1.0542290881294061E-2</v>
      </c>
      <c r="BJ49" s="117">
        <f t="shared" si="126"/>
        <v>0</v>
      </c>
      <c r="BK49" s="118">
        <f t="shared" si="127"/>
        <v>0</v>
      </c>
      <c r="BL49" s="91">
        <f t="shared" si="128"/>
        <v>0</v>
      </c>
      <c r="BM49" s="93">
        <f t="shared" si="129"/>
        <v>0</v>
      </c>
      <c r="BN49" s="91">
        <f t="shared" si="130"/>
        <v>0</v>
      </c>
      <c r="BO49" s="93">
        <f t="shared" si="131"/>
        <v>0</v>
      </c>
      <c r="BP49" s="91">
        <f t="shared" si="132"/>
        <v>0</v>
      </c>
      <c r="BQ49" s="93">
        <f t="shared" si="133"/>
        <v>0</v>
      </c>
      <c r="BR49" s="91">
        <f t="shared" si="134"/>
        <v>0</v>
      </c>
      <c r="BS49" s="93">
        <f t="shared" si="135"/>
        <v>0</v>
      </c>
      <c r="BT49" s="188">
        <f t="shared" si="136"/>
        <v>0</v>
      </c>
      <c r="BU49" s="93">
        <f t="shared" si="137"/>
        <v>0</v>
      </c>
      <c r="BV49" s="117" t="e">
        <f t="shared" si="86"/>
        <v>#NUM!</v>
      </c>
      <c r="BW49" s="206" t="e">
        <f t="shared" si="87"/>
        <v>#NUM!</v>
      </c>
      <c r="BX49" s="206" t="e">
        <f t="shared" si="88"/>
        <v>#NUM!</v>
      </c>
      <c r="BY49" s="97" t="e">
        <f t="shared" si="89"/>
        <v>#NUM!</v>
      </c>
      <c r="BZ49" s="123" t="e">
        <f t="shared" si="90"/>
        <v>#NUM!</v>
      </c>
      <c r="CA49" s="91">
        <f t="shared" si="91"/>
        <v>1.3207945900253597E-3</v>
      </c>
      <c r="CB49" s="92">
        <f t="shared" si="138"/>
        <v>2.5000000000000001E-3</v>
      </c>
      <c r="CC49" s="92">
        <f t="shared" si="139"/>
        <v>0</v>
      </c>
      <c r="CD49" s="92">
        <f t="shared" si="140"/>
        <v>0</v>
      </c>
      <c r="CE49" s="92">
        <f t="shared" si="141"/>
        <v>0</v>
      </c>
      <c r="CF49" s="92">
        <f t="shared" si="142"/>
        <v>0</v>
      </c>
      <c r="CG49" s="92">
        <f t="shared" si="143"/>
        <v>0</v>
      </c>
      <c r="CH49" s="92">
        <f t="shared" si="144"/>
        <v>0</v>
      </c>
      <c r="CI49" s="127">
        <f t="shared" si="92"/>
        <v>3.8207945900253599E-3</v>
      </c>
      <c r="CJ49" s="91">
        <f t="shared" si="93"/>
        <v>9.4342470716097108E-5</v>
      </c>
      <c r="CK49" s="92">
        <f t="shared" si="145"/>
        <v>3.3750000000000009E-2</v>
      </c>
      <c r="CL49" s="92">
        <f t="shared" si="146"/>
        <v>8.1000000000000016E-2</v>
      </c>
      <c r="CM49" s="127">
        <f t="shared" si="94"/>
        <v>0.11484434247071612</v>
      </c>
      <c r="CN49" s="91">
        <f t="shared" si="147"/>
        <v>0.15</v>
      </c>
      <c r="CO49" s="92">
        <f t="shared" si="148"/>
        <v>0</v>
      </c>
      <c r="CP49" s="92">
        <f t="shared" si="149"/>
        <v>0</v>
      </c>
      <c r="CQ49" s="92">
        <f t="shared" si="150"/>
        <v>0</v>
      </c>
      <c r="CR49" s="92">
        <f t="shared" si="151"/>
        <v>0</v>
      </c>
      <c r="CS49" s="92">
        <f t="shared" si="152"/>
        <v>0</v>
      </c>
      <c r="CT49" s="92">
        <f t="shared" si="153"/>
        <v>0</v>
      </c>
      <c r="CU49" s="127">
        <f t="shared" si="154"/>
        <v>0.15</v>
      </c>
      <c r="CV49" s="231">
        <f t="shared" si="155"/>
        <v>3.0878887925836804E-2</v>
      </c>
      <c r="CW49" s="188">
        <f t="shared" si="156"/>
        <v>0.29954402498657828</v>
      </c>
      <c r="CX49" s="206">
        <f t="shared" si="157"/>
        <v>7.7995440249865782</v>
      </c>
      <c r="CY49" s="231">
        <f t="shared" si="158"/>
        <v>0.961594674762145</v>
      </c>
      <c r="CZ49">
        <f t="shared" si="159"/>
        <v>94.6</v>
      </c>
      <c r="DA49">
        <f t="shared" si="160"/>
        <v>841.72951298897351</v>
      </c>
      <c r="DD49" s="22">
        <v>100000</v>
      </c>
      <c r="DE49" s="22">
        <f t="shared" si="95"/>
        <v>628318.53071795858</v>
      </c>
      <c r="DF49" s="91">
        <f t="shared" si="96"/>
        <v>-10.69661348158952</v>
      </c>
      <c r="DG49" s="93">
        <f t="shared" si="97"/>
        <v>-50.710802445672144</v>
      </c>
      <c r="DH49" s="91">
        <f t="shared" si="98"/>
        <v>-41.315690937209773</v>
      </c>
      <c r="DI49" s="92">
        <f t="shared" si="99"/>
        <v>96.680719096970549</v>
      </c>
      <c r="DJ49" s="92">
        <f t="shared" si="55"/>
        <v>-23.934193103021816</v>
      </c>
      <c r="DK49" s="93">
        <f t="shared" si="100"/>
        <v>98.60790286267455</v>
      </c>
      <c r="DL49" s="91">
        <f t="shared" si="101"/>
        <v>-52.012304418799289</v>
      </c>
      <c r="DM49" s="92">
        <f t="shared" si="102"/>
        <v>45.969916651298405</v>
      </c>
      <c r="DN49" s="92">
        <f t="shared" si="103"/>
        <v>-34.630806584611335</v>
      </c>
      <c r="DO49" s="93">
        <f t="shared" si="104"/>
        <v>47.897100417002406</v>
      </c>
    </row>
    <row r="50" spans="1:119" ht="15" x14ac:dyDescent="0.25">
      <c r="A50" s="12" t="s">
        <v>395</v>
      </c>
      <c r="B50" s="190">
        <f>COUT5_FlyB_DCM</f>
        <v>0</v>
      </c>
      <c r="C50" s="12" t="s">
        <v>343</v>
      </c>
      <c r="K50" s="58">
        <v>46</v>
      </c>
      <c r="L50" s="131">
        <f t="shared" si="56"/>
        <v>55.680000000000007</v>
      </c>
      <c r="M50" s="130">
        <f t="shared" si="57"/>
        <v>0.13469827586206898</v>
      </c>
      <c r="N50" s="132">
        <f t="shared" si="0"/>
        <v>0.2486925625612989</v>
      </c>
      <c r="O50" s="52">
        <f t="shared" si="58"/>
        <v>0.17585219741775415</v>
      </c>
      <c r="P50" s="21">
        <f t="shared" si="59"/>
        <v>0.54162567016401186</v>
      </c>
      <c r="Q50" s="19">
        <f t="shared" si="60"/>
        <v>1.0832513403280235</v>
      </c>
      <c r="R50" s="6">
        <f t="shared" si="105"/>
        <v>0.67986507301998045</v>
      </c>
      <c r="S50" s="55">
        <f t="shared" si="61"/>
        <v>0.31188896300602453</v>
      </c>
      <c r="T50" s="133">
        <f t="shared" si="62"/>
        <v>0.2813025057207264</v>
      </c>
      <c r="U50" s="54">
        <f t="shared" si="106"/>
        <v>0.34618004708532812</v>
      </c>
      <c r="V50" s="21">
        <f t="shared" si="107"/>
        <v>2.8886702408747298</v>
      </c>
      <c r="W50" s="21">
        <f t="shared" si="64"/>
        <v>0.9812696267038824</v>
      </c>
      <c r="X50" s="63">
        <f t="shared" si="65"/>
        <v>0.84432818281257005</v>
      </c>
      <c r="Y50" s="54">
        <f t="shared" si="108"/>
        <v>0</v>
      </c>
      <c r="Z50" s="21">
        <f t="shared" si="109"/>
        <v>0</v>
      </c>
      <c r="AA50" s="21">
        <f t="shared" si="66"/>
        <v>0</v>
      </c>
      <c r="AB50" s="63">
        <f t="shared" si="67"/>
        <v>0</v>
      </c>
      <c r="AC50" s="52">
        <f t="shared" si="110"/>
        <v>0</v>
      </c>
      <c r="AD50" s="21">
        <f t="shared" si="111"/>
        <v>0</v>
      </c>
      <c r="AE50" s="21">
        <f t="shared" si="68"/>
        <v>0</v>
      </c>
      <c r="AF50" s="63">
        <f t="shared" si="69"/>
        <v>0</v>
      </c>
      <c r="AG50" s="52">
        <f t="shared" si="112"/>
        <v>0</v>
      </c>
      <c r="AH50" s="21">
        <f t="shared" si="113"/>
        <v>0</v>
      </c>
      <c r="AI50" s="21">
        <f t="shared" si="70"/>
        <v>0</v>
      </c>
      <c r="AJ50" s="63">
        <f t="shared" si="71"/>
        <v>0</v>
      </c>
      <c r="AK50" s="52">
        <f t="shared" si="114"/>
        <v>0</v>
      </c>
      <c r="AL50" s="21">
        <f t="shared" si="115"/>
        <v>0</v>
      </c>
      <c r="AM50" s="21">
        <f t="shared" si="72"/>
        <v>0</v>
      </c>
      <c r="AN50" s="63">
        <f t="shared" si="73"/>
        <v>0</v>
      </c>
      <c r="AO50" s="52">
        <f t="shared" si="116"/>
        <v>0</v>
      </c>
      <c r="AP50" s="21">
        <f t="shared" si="117"/>
        <v>0</v>
      </c>
      <c r="AQ50" s="21">
        <f t="shared" si="75"/>
        <v>0</v>
      </c>
      <c r="AR50" s="181">
        <f t="shared" si="76"/>
        <v>0</v>
      </c>
      <c r="AS50" s="52">
        <f t="shared" si="118"/>
        <v>0</v>
      </c>
      <c r="AT50" s="21">
        <f t="shared" si="119"/>
        <v>0</v>
      </c>
      <c r="AU50" s="21">
        <f t="shared" si="120"/>
        <v>0</v>
      </c>
      <c r="AV50" s="63">
        <f t="shared" si="121"/>
        <v>0</v>
      </c>
      <c r="AW50" s="182">
        <f t="shared" si="77"/>
        <v>0.38852979470856125</v>
      </c>
      <c r="AX50" s="52">
        <f t="shared" si="78"/>
        <v>0</v>
      </c>
      <c r="AY50" s="74">
        <f t="shared" si="79"/>
        <v>0</v>
      </c>
      <c r="AZ50" s="78">
        <f t="shared" si="80"/>
        <v>0</v>
      </c>
      <c r="BA50" s="87">
        <f t="shared" si="81"/>
        <v>0</v>
      </c>
      <c r="BB50" s="110">
        <f t="shared" si="82"/>
        <v>17871.758454157614</v>
      </c>
      <c r="BC50" s="69">
        <f t="shared" si="83"/>
        <v>13.403818840618211</v>
      </c>
      <c r="BD50" s="42">
        <f t="shared" si="84"/>
        <v>12928.9236132437</v>
      </c>
      <c r="BE50" s="79">
        <f t="shared" si="85"/>
        <v>9.6966927099327744</v>
      </c>
      <c r="BF50" s="117" t="e">
        <f t="shared" si="122"/>
        <v>#NUM!</v>
      </c>
      <c r="BG50" s="118" t="e">
        <f t="shared" si="123"/>
        <v>#NUM!</v>
      </c>
      <c r="BH50" s="117">
        <f t="shared" si="124"/>
        <v>3.9418515684774288E-4</v>
      </c>
      <c r="BI50" s="118">
        <f t="shared" si="125"/>
        <v>1.0542290881294061E-2</v>
      </c>
      <c r="BJ50" s="117">
        <f t="shared" si="126"/>
        <v>0</v>
      </c>
      <c r="BK50" s="118">
        <f t="shared" si="127"/>
        <v>0</v>
      </c>
      <c r="BL50" s="91">
        <f t="shared" si="128"/>
        <v>0</v>
      </c>
      <c r="BM50" s="93">
        <f t="shared" si="129"/>
        <v>0</v>
      </c>
      <c r="BN50" s="91">
        <f t="shared" si="130"/>
        <v>0</v>
      </c>
      <c r="BO50" s="93">
        <f t="shared" si="131"/>
        <v>0</v>
      </c>
      <c r="BP50" s="91">
        <f t="shared" si="132"/>
        <v>0</v>
      </c>
      <c r="BQ50" s="93">
        <f t="shared" si="133"/>
        <v>0</v>
      </c>
      <c r="BR50" s="91">
        <f t="shared" si="134"/>
        <v>0</v>
      </c>
      <c r="BS50" s="93">
        <f t="shared" si="135"/>
        <v>0</v>
      </c>
      <c r="BT50" s="188">
        <f t="shared" si="136"/>
        <v>0</v>
      </c>
      <c r="BU50" s="93">
        <f t="shared" si="137"/>
        <v>0</v>
      </c>
      <c r="BV50" s="117" t="e">
        <f t="shared" si="86"/>
        <v>#NUM!</v>
      </c>
      <c r="BW50" s="206" t="e">
        <f t="shared" si="87"/>
        <v>#NUM!</v>
      </c>
      <c r="BX50" s="206" t="e">
        <f t="shared" si="88"/>
        <v>#NUM!</v>
      </c>
      <c r="BY50" s="97" t="e">
        <f t="shared" si="89"/>
        <v>#NUM!</v>
      </c>
      <c r="BZ50" s="123" t="e">
        <f t="shared" si="90"/>
        <v>#NUM!</v>
      </c>
      <c r="CA50" s="91">
        <f t="shared" si="91"/>
        <v>1.2700537864149826E-3</v>
      </c>
      <c r="CB50" s="92">
        <f t="shared" si="138"/>
        <v>2.5000000000000001E-3</v>
      </c>
      <c r="CC50" s="92">
        <f t="shared" si="139"/>
        <v>0</v>
      </c>
      <c r="CD50" s="92">
        <f t="shared" si="140"/>
        <v>0</v>
      </c>
      <c r="CE50" s="92">
        <f t="shared" si="141"/>
        <v>0</v>
      </c>
      <c r="CF50" s="92">
        <f t="shared" si="142"/>
        <v>0</v>
      </c>
      <c r="CG50" s="92">
        <f t="shared" si="143"/>
        <v>0</v>
      </c>
      <c r="CH50" s="92">
        <f t="shared" si="144"/>
        <v>0</v>
      </c>
      <c r="CI50" s="127">
        <f t="shared" si="92"/>
        <v>3.7700537864149824E-3</v>
      </c>
      <c r="CJ50" s="91">
        <f t="shared" si="93"/>
        <v>9.071812760107018E-5</v>
      </c>
      <c r="CK50" s="92">
        <f t="shared" si="145"/>
        <v>3.3750000000000009E-2</v>
      </c>
      <c r="CL50" s="92">
        <f t="shared" si="146"/>
        <v>8.1000000000000016E-2</v>
      </c>
      <c r="CM50" s="127">
        <f t="shared" si="94"/>
        <v>0.1148407181276011</v>
      </c>
      <c r="CN50" s="91">
        <f t="shared" si="147"/>
        <v>0.15</v>
      </c>
      <c r="CO50" s="92">
        <f t="shared" si="148"/>
        <v>0</v>
      </c>
      <c r="CP50" s="92">
        <f t="shared" si="149"/>
        <v>0</v>
      </c>
      <c r="CQ50" s="92">
        <f t="shared" si="150"/>
        <v>0</v>
      </c>
      <c r="CR50" s="92">
        <f t="shared" si="151"/>
        <v>0</v>
      </c>
      <c r="CS50" s="92">
        <f t="shared" si="152"/>
        <v>0</v>
      </c>
      <c r="CT50" s="92">
        <f t="shared" si="153"/>
        <v>0</v>
      </c>
      <c r="CU50" s="127">
        <f t="shared" si="154"/>
        <v>0.15</v>
      </c>
      <c r="CV50" s="231">
        <f t="shared" si="155"/>
        <v>3.0530423099583311E-2</v>
      </c>
      <c r="CW50" s="188">
        <f t="shared" si="156"/>
        <v>0.29914119501359937</v>
      </c>
      <c r="CX50" s="206">
        <f t="shared" si="157"/>
        <v>7.7991411950135996</v>
      </c>
      <c r="CY50" s="231">
        <f t="shared" si="158"/>
        <v>0.96164434166099511</v>
      </c>
      <c r="CZ50">
        <f t="shared" si="159"/>
        <v>95.68</v>
      </c>
      <c r="DA50">
        <f t="shared" si="160"/>
        <v>842.80951298897344</v>
      </c>
      <c r="DD50" s="22">
        <v>200000</v>
      </c>
      <c r="DE50" s="22">
        <f t="shared" si="95"/>
        <v>1256637.0614359172</v>
      </c>
      <c r="DF50" s="91">
        <f t="shared" si="96"/>
        <v>-13.291879270336773</v>
      </c>
      <c r="DG50" s="93">
        <f t="shared" si="97"/>
        <v>-31.448852231885475</v>
      </c>
      <c r="DH50" s="91">
        <f t="shared" si="98"/>
        <v>-47.286926897007262</v>
      </c>
      <c r="DI50" s="92">
        <f t="shared" si="99"/>
        <v>93.353816568005584</v>
      </c>
      <c r="DJ50" s="92">
        <f t="shared" si="55"/>
        <v>-29.878767885947425</v>
      </c>
      <c r="DK50" s="93">
        <f t="shared" si="100"/>
        <v>94.329612826799035</v>
      </c>
      <c r="DL50" s="91">
        <f t="shared" si="101"/>
        <v>-60.578806167344034</v>
      </c>
      <c r="DM50" s="92">
        <f t="shared" si="102"/>
        <v>61.904964336120109</v>
      </c>
      <c r="DN50" s="92">
        <f t="shared" si="103"/>
        <v>-43.170647156284197</v>
      </c>
      <c r="DO50" s="93">
        <f t="shared" si="104"/>
        <v>62.880760594913561</v>
      </c>
    </row>
    <row r="51" spans="1:119" ht="15" x14ac:dyDescent="0.25">
      <c r="A51" s="12" t="s">
        <v>396</v>
      </c>
      <c r="B51" s="190">
        <f>IF(AND(Vout6&lt;&gt;0,Iout6&lt;&gt;0,Vout6_Ripple&lt;&gt;0),(Iout6*B7)/(Fsw*Vout6_Ripple*(10^-3)),0)</f>
        <v>0</v>
      </c>
      <c r="C51" s="12" t="s">
        <v>343</v>
      </c>
      <c r="K51" s="58">
        <v>47</v>
      </c>
      <c r="L51" s="131">
        <f t="shared" si="56"/>
        <v>56.760000000000005</v>
      </c>
      <c r="M51" s="130">
        <f t="shared" si="57"/>
        <v>0.1321353065539112</v>
      </c>
      <c r="N51" s="132">
        <f t="shared" si="0"/>
        <v>0.24396056877049199</v>
      </c>
      <c r="O51" s="52">
        <f t="shared" si="58"/>
        <v>0.17250617251974196</v>
      </c>
      <c r="P51" s="21">
        <f t="shared" si="59"/>
        <v>0.54162567016401175</v>
      </c>
      <c r="Q51" s="19">
        <f t="shared" si="60"/>
        <v>1.0832513403280237</v>
      </c>
      <c r="R51" s="6">
        <f t="shared" si="105"/>
        <v>0.67688359123250097</v>
      </c>
      <c r="S51" s="55">
        <f t="shared" si="61"/>
        <v>0.30890748121854505</v>
      </c>
      <c r="T51" s="133">
        <f t="shared" si="62"/>
        <v>0.27922050912261026</v>
      </c>
      <c r="U51" s="54">
        <f t="shared" si="106"/>
        <v>0.34618004708532812</v>
      </c>
      <c r="V51" s="21">
        <f t="shared" si="107"/>
        <v>2.8886702408747298</v>
      </c>
      <c r="W51" s="21">
        <f t="shared" si="64"/>
        <v>0.9812696267038824</v>
      </c>
      <c r="X51" s="63">
        <f t="shared" si="65"/>
        <v>0.84432818281257005</v>
      </c>
      <c r="Y51" s="54">
        <f t="shared" si="108"/>
        <v>0</v>
      </c>
      <c r="Z51" s="21">
        <f t="shared" si="109"/>
        <v>0</v>
      </c>
      <c r="AA51" s="21">
        <f t="shared" si="66"/>
        <v>0</v>
      </c>
      <c r="AB51" s="63">
        <f t="shared" si="67"/>
        <v>0</v>
      </c>
      <c r="AC51" s="52">
        <f t="shared" si="110"/>
        <v>0</v>
      </c>
      <c r="AD51" s="21">
        <f t="shared" si="111"/>
        <v>0</v>
      </c>
      <c r="AE51" s="21">
        <f t="shared" si="68"/>
        <v>0</v>
      </c>
      <c r="AF51" s="63">
        <f t="shared" si="69"/>
        <v>0</v>
      </c>
      <c r="AG51" s="52">
        <f t="shared" si="112"/>
        <v>0</v>
      </c>
      <c r="AH51" s="21">
        <f t="shared" si="113"/>
        <v>0</v>
      </c>
      <c r="AI51" s="21">
        <f t="shared" si="70"/>
        <v>0</v>
      </c>
      <c r="AJ51" s="63">
        <f t="shared" si="71"/>
        <v>0</v>
      </c>
      <c r="AK51" s="52">
        <f t="shared" si="114"/>
        <v>0</v>
      </c>
      <c r="AL51" s="21">
        <f t="shared" si="115"/>
        <v>0</v>
      </c>
      <c r="AM51" s="21">
        <f t="shared" si="72"/>
        <v>0</v>
      </c>
      <c r="AN51" s="63">
        <f t="shared" si="73"/>
        <v>0</v>
      </c>
      <c r="AO51" s="52">
        <f t="shared" si="116"/>
        <v>0</v>
      </c>
      <c r="AP51" s="21">
        <f t="shared" si="117"/>
        <v>0</v>
      </c>
      <c r="AQ51" s="21">
        <f t="shared" si="75"/>
        <v>0</v>
      </c>
      <c r="AR51" s="181">
        <f t="shared" si="76"/>
        <v>0</v>
      </c>
      <c r="AS51" s="52">
        <f t="shared" si="118"/>
        <v>0</v>
      </c>
      <c r="AT51" s="21">
        <f t="shared" si="119"/>
        <v>0</v>
      </c>
      <c r="AU51" s="21">
        <f t="shared" si="120"/>
        <v>0</v>
      </c>
      <c r="AV51" s="63">
        <f t="shared" si="121"/>
        <v>0</v>
      </c>
      <c r="AW51" s="182">
        <f t="shared" si="77"/>
        <v>0.38852979470856125</v>
      </c>
      <c r="AX51" s="52">
        <f t="shared" si="78"/>
        <v>0</v>
      </c>
      <c r="AY51" s="74">
        <f t="shared" si="79"/>
        <v>0</v>
      </c>
      <c r="AZ51" s="78">
        <f t="shared" si="80"/>
        <v>0</v>
      </c>
      <c r="BA51" s="87">
        <f t="shared" si="81"/>
        <v>0</v>
      </c>
      <c r="BB51" s="110">
        <f t="shared" si="82"/>
        <v>17871.758454157614</v>
      </c>
      <c r="BC51" s="69">
        <f t="shared" si="83"/>
        <v>13.403818840618211</v>
      </c>
      <c r="BD51" s="42">
        <f t="shared" si="84"/>
        <v>12928.9236132437</v>
      </c>
      <c r="BE51" s="79">
        <f t="shared" si="85"/>
        <v>9.6966927099327744</v>
      </c>
      <c r="BF51" s="117" t="e">
        <f t="shared" si="122"/>
        <v>#NUM!</v>
      </c>
      <c r="BG51" s="118" t="e">
        <f t="shared" si="123"/>
        <v>#NUM!</v>
      </c>
      <c r="BH51" s="117">
        <f t="shared" si="124"/>
        <v>3.9418515684774288E-4</v>
      </c>
      <c r="BI51" s="118">
        <f t="shared" si="125"/>
        <v>1.0542290881294061E-2</v>
      </c>
      <c r="BJ51" s="117">
        <f t="shared" si="126"/>
        <v>0</v>
      </c>
      <c r="BK51" s="118">
        <f t="shared" si="127"/>
        <v>0</v>
      </c>
      <c r="BL51" s="91">
        <f t="shared" si="128"/>
        <v>0</v>
      </c>
      <c r="BM51" s="93">
        <f t="shared" si="129"/>
        <v>0</v>
      </c>
      <c r="BN51" s="91">
        <f t="shared" si="130"/>
        <v>0</v>
      </c>
      <c r="BO51" s="93">
        <f t="shared" si="131"/>
        <v>0</v>
      </c>
      <c r="BP51" s="91">
        <f t="shared" si="132"/>
        <v>0</v>
      </c>
      <c r="BQ51" s="93">
        <f t="shared" si="133"/>
        <v>0</v>
      </c>
      <c r="BR51" s="91">
        <f t="shared" si="134"/>
        <v>0</v>
      </c>
      <c r="BS51" s="93">
        <f t="shared" si="135"/>
        <v>0</v>
      </c>
      <c r="BT51" s="188">
        <f t="shared" si="136"/>
        <v>0</v>
      </c>
      <c r="BU51" s="93">
        <f t="shared" si="137"/>
        <v>0</v>
      </c>
      <c r="BV51" s="117" t="e">
        <f t="shared" si="86"/>
        <v>#NUM!</v>
      </c>
      <c r="BW51" s="206" t="e">
        <f t="shared" si="87"/>
        <v>#NUM!</v>
      </c>
      <c r="BX51" s="206" t="e">
        <f t="shared" si="88"/>
        <v>#NUM!</v>
      </c>
      <c r="BY51" s="97" t="e">
        <f t="shared" si="89"/>
        <v>#NUM!</v>
      </c>
      <c r="BZ51" s="123" t="e">
        <f t="shared" si="90"/>
        <v>#NUM!</v>
      </c>
      <c r="CA51" s="91">
        <f t="shared" si="91"/>
        <v>1.2221817466667264E-3</v>
      </c>
      <c r="CB51" s="92">
        <f t="shared" si="138"/>
        <v>2.5000000000000001E-3</v>
      </c>
      <c r="CC51" s="92">
        <f t="shared" si="139"/>
        <v>0</v>
      </c>
      <c r="CD51" s="92">
        <f t="shared" si="140"/>
        <v>0</v>
      </c>
      <c r="CE51" s="92">
        <f t="shared" si="141"/>
        <v>0</v>
      </c>
      <c r="CF51" s="92">
        <f t="shared" si="142"/>
        <v>0</v>
      </c>
      <c r="CG51" s="92">
        <f t="shared" si="143"/>
        <v>0</v>
      </c>
      <c r="CH51" s="92">
        <f t="shared" si="144"/>
        <v>0</v>
      </c>
      <c r="CI51" s="127">
        <f t="shared" si="92"/>
        <v>3.7221817466667265E-3</v>
      </c>
      <c r="CJ51" s="91">
        <f t="shared" si="93"/>
        <v>8.7298696190480445E-5</v>
      </c>
      <c r="CK51" s="92">
        <f t="shared" si="145"/>
        <v>3.3750000000000009E-2</v>
      </c>
      <c r="CL51" s="92">
        <f t="shared" si="146"/>
        <v>8.1000000000000016E-2</v>
      </c>
      <c r="CM51" s="127">
        <f t="shared" si="94"/>
        <v>0.1148372986961905</v>
      </c>
      <c r="CN51" s="91">
        <f t="shared" si="147"/>
        <v>0.15</v>
      </c>
      <c r="CO51" s="92">
        <f t="shared" si="148"/>
        <v>0</v>
      </c>
      <c r="CP51" s="92">
        <f t="shared" si="149"/>
        <v>0</v>
      </c>
      <c r="CQ51" s="92">
        <f t="shared" si="150"/>
        <v>0</v>
      </c>
      <c r="CR51" s="92">
        <f t="shared" si="151"/>
        <v>0</v>
      </c>
      <c r="CS51" s="92">
        <f t="shared" si="152"/>
        <v>0</v>
      </c>
      <c r="CT51" s="92">
        <f t="shared" si="153"/>
        <v>0</v>
      </c>
      <c r="CU51" s="127">
        <f t="shared" si="154"/>
        <v>0.15</v>
      </c>
      <c r="CV51" s="231">
        <f t="shared" si="155"/>
        <v>3.0172915937617336E-2</v>
      </c>
      <c r="CW51" s="188">
        <f t="shared" si="156"/>
        <v>0.29873239638047455</v>
      </c>
      <c r="CX51" s="206">
        <f t="shared" si="157"/>
        <v>7.7987323963804744</v>
      </c>
      <c r="CY51" s="231">
        <f t="shared" si="158"/>
        <v>0.9616947497109759</v>
      </c>
      <c r="CZ51">
        <f t="shared" si="159"/>
        <v>96.76</v>
      </c>
      <c r="DA51">
        <f t="shared" si="160"/>
        <v>843.88951298897359</v>
      </c>
      <c r="DD51" s="22">
        <v>300000</v>
      </c>
      <c r="DE51" s="22">
        <f t="shared" si="95"/>
        <v>1884955.5921538759</v>
      </c>
      <c r="DF51" s="91">
        <f t="shared" si="96"/>
        <v>-14.004999481601864</v>
      </c>
      <c r="DG51" s="93">
        <f t="shared" si="97"/>
        <v>-22.184272482755024</v>
      </c>
      <c r="DH51" s="91">
        <f t="shared" si="98"/>
        <v>-50.799548348094412</v>
      </c>
      <c r="DI51" s="92">
        <f t="shared" si="99"/>
        <v>92.237552625098246</v>
      </c>
      <c r="DJ51" s="92">
        <f t="shared" si="55"/>
        <v>-33.386367037395274</v>
      </c>
      <c r="DK51" s="93">
        <f t="shared" si="100"/>
        <v>92.889616446689516</v>
      </c>
      <c r="DL51" s="91">
        <f t="shared" si="101"/>
        <v>-64.804547829696276</v>
      </c>
      <c r="DM51" s="92">
        <f t="shared" si="102"/>
        <v>70.053280142343226</v>
      </c>
      <c r="DN51" s="92">
        <f t="shared" si="103"/>
        <v>-47.391366518997138</v>
      </c>
      <c r="DO51" s="93">
        <f t="shared" si="104"/>
        <v>70.705343963934496</v>
      </c>
    </row>
    <row r="52" spans="1:119" ht="15" x14ac:dyDescent="0.25">
      <c r="A52" s="12" t="s">
        <v>397</v>
      </c>
      <c r="B52" s="190">
        <f>COUT6_FlyB_DCM</f>
        <v>0</v>
      </c>
      <c r="C52" s="12" t="s">
        <v>343</v>
      </c>
      <c r="K52" s="58">
        <v>48</v>
      </c>
      <c r="L52" s="131">
        <f t="shared" si="56"/>
        <v>57.84</v>
      </c>
      <c r="M52" s="130">
        <f t="shared" si="57"/>
        <v>0.12966804979253113</v>
      </c>
      <c r="N52" s="132">
        <f t="shared" si="0"/>
        <v>0.23940528844075248</v>
      </c>
      <c r="O52" s="52">
        <f t="shared" si="58"/>
        <v>0.16928510290837748</v>
      </c>
      <c r="P52" s="21">
        <f t="shared" si="59"/>
        <v>0.54162567016401186</v>
      </c>
      <c r="Q52" s="19">
        <f t="shared" si="60"/>
        <v>1.0832513403280235</v>
      </c>
      <c r="R52" s="6">
        <f t="shared" si="105"/>
        <v>0.67398601043710693</v>
      </c>
      <c r="S52" s="55">
        <f t="shared" si="61"/>
        <v>0.30600990042315102</v>
      </c>
      <c r="T52" s="133">
        <f t="shared" si="62"/>
        <v>0.27717910458760858</v>
      </c>
      <c r="U52" s="54">
        <f t="shared" si="106"/>
        <v>0.34618004708532812</v>
      </c>
      <c r="V52" s="21">
        <f t="shared" si="107"/>
        <v>2.8886702408747298</v>
      </c>
      <c r="W52" s="21">
        <f t="shared" si="64"/>
        <v>0.9812696267038824</v>
      </c>
      <c r="X52" s="63">
        <f t="shared" si="65"/>
        <v>0.84432818281257005</v>
      </c>
      <c r="Y52" s="54">
        <f t="shared" si="108"/>
        <v>0</v>
      </c>
      <c r="Z52" s="21">
        <f t="shared" si="109"/>
        <v>0</v>
      </c>
      <c r="AA52" s="21">
        <f t="shared" si="66"/>
        <v>0</v>
      </c>
      <c r="AB52" s="63">
        <f t="shared" si="67"/>
        <v>0</v>
      </c>
      <c r="AC52" s="52">
        <f t="shared" si="110"/>
        <v>0</v>
      </c>
      <c r="AD52" s="21">
        <f t="shared" si="111"/>
        <v>0</v>
      </c>
      <c r="AE52" s="21">
        <f t="shared" si="68"/>
        <v>0</v>
      </c>
      <c r="AF52" s="63">
        <f t="shared" si="69"/>
        <v>0</v>
      </c>
      <c r="AG52" s="52">
        <f t="shared" si="112"/>
        <v>0</v>
      </c>
      <c r="AH52" s="21">
        <f t="shared" si="113"/>
        <v>0</v>
      </c>
      <c r="AI52" s="21">
        <f t="shared" si="70"/>
        <v>0</v>
      </c>
      <c r="AJ52" s="63">
        <f t="shared" si="71"/>
        <v>0</v>
      </c>
      <c r="AK52" s="52">
        <f t="shared" si="114"/>
        <v>0</v>
      </c>
      <c r="AL52" s="21">
        <f t="shared" si="115"/>
        <v>0</v>
      </c>
      <c r="AM52" s="21">
        <f t="shared" si="72"/>
        <v>0</v>
      </c>
      <c r="AN52" s="63">
        <f t="shared" si="73"/>
        <v>0</v>
      </c>
      <c r="AO52" s="52">
        <f t="shared" si="116"/>
        <v>0</v>
      </c>
      <c r="AP52" s="21">
        <f t="shared" si="117"/>
        <v>0</v>
      </c>
      <c r="AQ52" s="21">
        <f t="shared" si="75"/>
        <v>0</v>
      </c>
      <c r="AR52" s="181">
        <f t="shared" si="76"/>
        <v>0</v>
      </c>
      <c r="AS52" s="52">
        <f t="shared" si="118"/>
        <v>0</v>
      </c>
      <c r="AT52" s="21">
        <f t="shared" si="119"/>
        <v>0</v>
      </c>
      <c r="AU52" s="21">
        <f t="shared" si="120"/>
        <v>0</v>
      </c>
      <c r="AV52" s="63">
        <f t="shared" si="121"/>
        <v>0</v>
      </c>
      <c r="AW52" s="182">
        <f t="shared" si="77"/>
        <v>0.38852979470856125</v>
      </c>
      <c r="AX52" s="52">
        <f t="shared" si="78"/>
        <v>0</v>
      </c>
      <c r="AY52" s="74">
        <f t="shared" si="79"/>
        <v>0</v>
      </c>
      <c r="AZ52" s="78">
        <f t="shared" si="80"/>
        <v>0</v>
      </c>
      <c r="BA52" s="87">
        <f t="shared" si="81"/>
        <v>0</v>
      </c>
      <c r="BB52" s="110">
        <f t="shared" si="82"/>
        <v>17871.758454157614</v>
      </c>
      <c r="BC52" s="69">
        <f t="shared" si="83"/>
        <v>13.403818840618211</v>
      </c>
      <c r="BD52" s="42">
        <f t="shared" si="84"/>
        <v>12928.9236132437</v>
      </c>
      <c r="BE52" s="79">
        <f t="shared" si="85"/>
        <v>9.6966927099327744</v>
      </c>
      <c r="BF52" s="117" t="e">
        <f t="shared" si="122"/>
        <v>#NUM!</v>
      </c>
      <c r="BG52" s="118" t="e">
        <f t="shared" si="123"/>
        <v>#NUM!</v>
      </c>
      <c r="BH52" s="117">
        <f t="shared" si="124"/>
        <v>3.9418515684774288E-4</v>
      </c>
      <c r="BI52" s="118">
        <f t="shared" si="125"/>
        <v>1.0542290881294061E-2</v>
      </c>
      <c r="BJ52" s="117">
        <f t="shared" si="126"/>
        <v>0</v>
      </c>
      <c r="BK52" s="118">
        <f t="shared" si="127"/>
        <v>0</v>
      </c>
      <c r="BL52" s="91">
        <f t="shared" si="128"/>
        <v>0</v>
      </c>
      <c r="BM52" s="93">
        <f t="shared" si="129"/>
        <v>0</v>
      </c>
      <c r="BN52" s="91">
        <f t="shared" si="130"/>
        <v>0</v>
      </c>
      <c r="BO52" s="93">
        <f t="shared" si="131"/>
        <v>0</v>
      </c>
      <c r="BP52" s="91">
        <f t="shared" si="132"/>
        <v>0</v>
      </c>
      <c r="BQ52" s="93">
        <f t="shared" si="133"/>
        <v>0</v>
      </c>
      <c r="BR52" s="91">
        <f t="shared" si="134"/>
        <v>0</v>
      </c>
      <c r="BS52" s="93">
        <f t="shared" si="135"/>
        <v>0</v>
      </c>
      <c r="BT52" s="188">
        <f t="shared" si="136"/>
        <v>0</v>
      </c>
      <c r="BU52" s="93">
        <f t="shared" si="137"/>
        <v>0</v>
      </c>
      <c r="BV52" s="117" t="e">
        <f t="shared" si="86"/>
        <v>#NUM!</v>
      </c>
      <c r="BW52" s="206" t="e">
        <f t="shared" si="87"/>
        <v>#NUM!</v>
      </c>
      <c r="BX52" s="206" t="e">
        <f t="shared" si="88"/>
        <v>#NUM!</v>
      </c>
      <c r="BY52" s="97" t="e">
        <f t="shared" si="89"/>
        <v>#NUM!</v>
      </c>
      <c r="BZ52" s="123" t="e">
        <f t="shared" si="90"/>
        <v>#NUM!</v>
      </c>
      <c r="CA52" s="91">
        <f t="shared" si="91"/>
        <v>1.1769662195898834E-3</v>
      </c>
      <c r="CB52" s="92">
        <f t="shared" si="138"/>
        <v>2.5000000000000001E-3</v>
      </c>
      <c r="CC52" s="92">
        <f t="shared" si="139"/>
        <v>0</v>
      </c>
      <c r="CD52" s="92">
        <f t="shared" si="140"/>
        <v>0</v>
      </c>
      <c r="CE52" s="92">
        <f t="shared" si="141"/>
        <v>0</v>
      </c>
      <c r="CF52" s="92">
        <f t="shared" si="142"/>
        <v>0</v>
      </c>
      <c r="CG52" s="92">
        <f t="shared" si="143"/>
        <v>0</v>
      </c>
      <c r="CH52" s="92">
        <f t="shared" si="144"/>
        <v>0</v>
      </c>
      <c r="CI52" s="127">
        <f t="shared" si="92"/>
        <v>3.6769662195898834E-3</v>
      </c>
      <c r="CJ52" s="91">
        <f t="shared" si="93"/>
        <v>8.406901568499166E-5</v>
      </c>
      <c r="CK52" s="92">
        <f t="shared" si="145"/>
        <v>3.3750000000000009E-2</v>
      </c>
      <c r="CL52" s="92">
        <f t="shared" si="146"/>
        <v>8.1000000000000016E-2</v>
      </c>
      <c r="CM52" s="127">
        <f t="shared" si="94"/>
        <v>0.11483406901568502</v>
      </c>
      <c r="CN52" s="91">
        <f t="shared" si="147"/>
        <v>0.15</v>
      </c>
      <c r="CO52" s="92">
        <f t="shared" si="148"/>
        <v>0</v>
      </c>
      <c r="CP52" s="92">
        <f t="shared" si="149"/>
        <v>0</v>
      </c>
      <c r="CQ52" s="92">
        <f t="shared" si="150"/>
        <v>0</v>
      </c>
      <c r="CR52" s="92">
        <f t="shared" si="151"/>
        <v>0</v>
      </c>
      <c r="CS52" s="92">
        <f t="shared" si="152"/>
        <v>0</v>
      </c>
      <c r="CT52" s="92">
        <f t="shared" si="153"/>
        <v>0</v>
      </c>
      <c r="CU52" s="127">
        <f t="shared" si="154"/>
        <v>0.15</v>
      </c>
      <c r="CV52" s="231">
        <f t="shared" si="155"/>
        <v>2.9806009853184847E-2</v>
      </c>
      <c r="CW52" s="188">
        <f t="shared" si="156"/>
        <v>0.29831704508845974</v>
      </c>
      <c r="CX52" s="206">
        <f t="shared" si="157"/>
        <v>7.79831704508846</v>
      </c>
      <c r="CY52" s="231">
        <f t="shared" si="158"/>
        <v>0.96174597116741412</v>
      </c>
      <c r="CZ52">
        <f t="shared" si="159"/>
        <v>97.84</v>
      </c>
      <c r="DA52">
        <f t="shared" si="160"/>
        <v>844.96951298897352</v>
      </c>
      <c r="DD52" s="22">
        <v>400000</v>
      </c>
      <c r="DE52" s="22">
        <f t="shared" si="95"/>
        <v>2513274.1228718343</v>
      </c>
      <c r="DF52" s="91">
        <f t="shared" si="96"/>
        <v>-14.285093663190633</v>
      </c>
      <c r="DG52" s="93">
        <f t="shared" si="97"/>
        <v>-17.005940264385821</v>
      </c>
      <c r="DH52" s="91">
        <f t="shared" si="98"/>
        <v>-53.295097134447388</v>
      </c>
      <c r="DI52" s="92">
        <f t="shared" si="99"/>
        <v>91.678604891631863</v>
      </c>
      <c r="DJ52" s="92">
        <f t="shared" si="55"/>
        <v>-35.880151623736737</v>
      </c>
      <c r="DK52" s="93">
        <f t="shared" si="100"/>
        <v>92.16805664744092</v>
      </c>
      <c r="DL52" s="91">
        <f t="shared" si="101"/>
        <v>-67.580190797638025</v>
      </c>
      <c r="DM52" s="92">
        <f t="shared" si="102"/>
        <v>74.672664627246036</v>
      </c>
      <c r="DN52" s="92">
        <f t="shared" si="103"/>
        <v>-50.165245286927373</v>
      </c>
      <c r="DO52" s="93">
        <f t="shared" si="104"/>
        <v>75.162116383055093</v>
      </c>
    </row>
    <row r="53" spans="1:119" ht="15" x14ac:dyDescent="0.25">
      <c r="A53" s="12" t="s">
        <v>401</v>
      </c>
      <c r="B53" s="190">
        <f>IF(AND(VOUTAUX&lt;&gt;0,IoutAux&lt;&gt;0,VoutAUX_Ripple&lt;&gt;0),(IoutAux*B7)/(Fsw*VoutAUX_Ripple*(10^-3)),0)</f>
        <v>0</v>
      </c>
      <c r="C53" s="12" t="s">
        <v>343</v>
      </c>
      <c r="K53" s="58">
        <v>49</v>
      </c>
      <c r="L53" s="131">
        <f t="shared" si="56"/>
        <v>58.92</v>
      </c>
      <c r="M53" s="130">
        <f t="shared" si="57"/>
        <v>0.12729124236252545</v>
      </c>
      <c r="N53" s="132">
        <f t="shared" si="0"/>
        <v>0.23501700413124788</v>
      </c>
      <c r="O53" s="52">
        <f t="shared" si="58"/>
        <v>0.16618211731535223</v>
      </c>
      <c r="P53" s="21">
        <f t="shared" si="59"/>
        <v>0.54162567016401175</v>
      </c>
      <c r="Q53" s="19">
        <f t="shared" si="60"/>
        <v>1.0832513403280237</v>
      </c>
      <c r="R53" s="6">
        <f t="shared" si="105"/>
        <v>0.67116846798847685</v>
      </c>
      <c r="S53" s="55">
        <f t="shared" si="61"/>
        <v>0.30319235797452088</v>
      </c>
      <c r="T53" s="133">
        <f t="shared" si="62"/>
        <v>0.27517729839497085</v>
      </c>
      <c r="U53" s="54">
        <f t="shared" si="106"/>
        <v>0.34618004708532812</v>
      </c>
      <c r="V53" s="21">
        <f t="shared" si="107"/>
        <v>2.8886702408747298</v>
      </c>
      <c r="W53" s="21">
        <f t="shared" si="64"/>
        <v>0.9812696267038824</v>
      </c>
      <c r="X53" s="63">
        <f t="shared" si="65"/>
        <v>0.84432818281257005</v>
      </c>
      <c r="Y53" s="54">
        <f t="shared" si="108"/>
        <v>0</v>
      </c>
      <c r="Z53" s="21">
        <f t="shared" si="109"/>
        <v>0</v>
      </c>
      <c r="AA53" s="21">
        <f t="shared" si="66"/>
        <v>0</v>
      </c>
      <c r="AB53" s="63">
        <f t="shared" si="67"/>
        <v>0</v>
      </c>
      <c r="AC53" s="52">
        <f t="shared" si="110"/>
        <v>0</v>
      </c>
      <c r="AD53" s="21">
        <f t="shared" si="111"/>
        <v>0</v>
      </c>
      <c r="AE53" s="21">
        <f t="shared" si="68"/>
        <v>0</v>
      </c>
      <c r="AF53" s="63">
        <f t="shared" si="69"/>
        <v>0</v>
      </c>
      <c r="AG53" s="52">
        <f t="shared" si="112"/>
        <v>0</v>
      </c>
      <c r="AH53" s="21">
        <f t="shared" si="113"/>
        <v>0</v>
      </c>
      <c r="AI53" s="21">
        <f t="shared" si="70"/>
        <v>0</v>
      </c>
      <c r="AJ53" s="63">
        <f t="shared" si="71"/>
        <v>0</v>
      </c>
      <c r="AK53" s="52">
        <f t="shared" si="114"/>
        <v>0</v>
      </c>
      <c r="AL53" s="21">
        <f t="shared" si="115"/>
        <v>0</v>
      </c>
      <c r="AM53" s="21">
        <f t="shared" si="72"/>
        <v>0</v>
      </c>
      <c r="AN53" s="63">
        <f t="shared" si="73"/>
        <v>0</v>
      </c>
      <c r="AO53" s="52">
        <f t="shared" si="116"/>
        <v>0</v>
      </c>
      <c r="AP53" s="21">
        <f t="shared" si="117"/>
        <v>0</v>
      </c>
      <c r="AQ53" s="21">
        <f t="shared" si="75"/>
        <v>0</v>
      </c>
      <c r="AR53" s="181">
        <f t="shared" si="76"/>
        <v>0</v>
      </c>
      <c r="AS53" s="52">
        <f t="shared" si="118"/>
        <v>0</v>
      </c>
      <c r="AT53" s="21">
        <f t="shared" si="119"/>
        <v>0</v>
      </c>
      <c r="AU53" s="21">
        <f t="shared" si="120"/>
        <v>0</v>
      </c>
      <c r="AV53" s="63">
        <f t="shared" si="121"/>
        <v>0</v>
      </c>
      <c r="AW53" s="182">
        <f t="shared" si="77"/>
        <v>0.38852979470856125</v>
      </c>
      <c r="AX53" s="52">
        <f t="shared" si="78"/>
        <v>0</v>
      </c>
      <c r="AY53" s="74">
        <f t="shared" si="79"/>
        <v>0</v>
      </c>
      <c r="AZ53" s="78">
        <f t="shared" si="80"/>
        <v>0</v>
      </c>
      <c r="BA53" s="87">
        <f t="shared" si="81"/>
        <v>0</v>
      </c>
      <c r="BB53" s="110">
        <f t="shared" si="82"/>
        <v>17871.758454157614</v>
      </c>
      <c r="BC53" s="69">
        <f t="shared" si="83"/>
        <v>13.403818840618211</v>
      </c>
      <c r="BD53" s="42">
        <f t="shared" si="84"/>
        <v>12928.9236132437</v>
      </c>
      <c r="BE53" s="79">
        <f t="shared" si="85"/>
        <v>9.6966927099327744</v>
      </c>
      <c r="BF53" s="117" t="e">
        <f t="shared" si="122"/>
        <v>#NUM!</v>
      </c>
      <c r="BG53" s="118" t="e">
        <f t="shared" si="123"/>
        <v>#NUM!</v>
      </c>
      <c r="BH53" s="117">
        <f t="shared" si="124"/>
        <v>3.9418515684774288E-4</v>
      </c>
      <c r="BI53" s="118">
        <f t="shared" si="125"/>
        <v>1.0542290881294061E-2</v>
      </c>
      <c r="BJ53" s="117">
        <f t="shared" si="126"/>
        <v>0</v>
      </c>
      <c r="BK53" s="118">
        <f t="shared" si="127"/>
        <v>0</v>
      </c>
      <c r="BL53" s="91">
        <f t="shared" si="128"/>
        <v>0</v>
      </c>
      <c r="BM53" s="93">
        <f t="shared" si="129"/>
        <v>0</v>
      </c>
      <c r="BN53" s="91">
        <f t="shared" si="130"/>
        <v>0</v>
      </c>
      <c r="BO53" s="93">
        <f t="shared" si="131"/>
        <v>0</v>
      </c>
      <c r="BP53" s="91">
        <f t="shared" si="132"/>
        <v>0</v>
      </c>
      <c r="BQ53" s="93">
        <f t="shared" si="133"/>
        <v>0</v>
      </c>
      <c r="BR53" s="91">
        <f t="shared" si="134"/>
        <v>0</v>
      </c>
      <c r="BS53" s="93">
        <f t="shared" si="135"/>
        <v>0</v>
      </c>
      <c r="BT53" s="188">
        <f t="shared" si="136"/>
        <v>0</v>
      </c>
      <c r="BU53" s="93">
        <f t="shared" si="137"/>
        <v>0</v>
      </c>
      <c r="BV53" s="117" t="e">
        <f t="shared" si="86"/>
        <v>#NUM!</v>
      </c>
      <c r="BW53" s="206" t="e">
        <f t="shared" si="87"/>
        <v>#NUM!</v>
      </c>
      <c r="BX53" s="206" t="e">
        <f t="shared" si="88"/>
        <v>#NUM!</v>
      </c>
      <c r="BY53" s="97" t="e">
        <f t="shared" si="89"/>
        <v>#NUM!</v>
      </c>
      <c r="BZ53" s="123" t="e">
        <f t="shared" si="90"/>
        <v>#NUM!</v>
      </c>
      <c r="CA53" s="91">
        <f t="shared" si="91"/>
        <v>1.1342142267536637E-3</v>
      </c>
      <c r="CB53" s="92">
        <f t="shared" si="138"/>
        <v>2.5000000000000001E-3</v>
      </c>
      <c r="CC53" s="92">
        <f t="shared" si="139"/>
        <v>0</v>
      </c>
      <c r="CD53" s="92">
        <f t="shared" si="140"/>
        <v>0</v>
      </c>
      <c r="CE53" s="92">
        <f t="shared" si="141"/>
        <v>0</v>
      </c>
      <c r="CF53" s="92">
        <f t="shared" si="142"/>
        <v>0</v>
      </c>
      <c r="CG53" s="92">
        <f t="shared" si="143"/>
        <v>0</v>
      </c>
      <c r="CH53" s="92">
        <f t="shared" si="144"/>
        <v>0</v>
      </c>
      <c r="CI53" s="127">
        <f t="shared" si="92"/>
        <v>3.6342142267536638E-3</v>
      </c>
      <c r="CJ53" s="91">
        <f t="shared" si="93"/>
        <v>8.1015301910975965E-5</v>
      </c>
      <c r="CK53" s="92">
        <f t="shared" si="145"/>
        <v>3.3750000000000002E-2</v>
      </c>
      <c r="CL53" s="92">
        <f t="shared" si="146"/>
        <v>8.1000000000000016E-2</v>
      </c>
      <c r="CM53" s="127">
        <f t="shared" si="94"/>
        <v>0.114831015301911</v>
      </c>
      <c r="CN53" s="91">
        <f t="shared" si="147"/>
        <v>0.15</v>
      </c>
      <c r="CO53" s="92">
        <f t="shared" si="148"/>
        <v>0</v>
      </c>
      <c r="CP53" s="92">
        <f t="shared" si="149"/>
        <v>0</v>
      </c>
      <c r="CQ53" s="92">
        <f t="shared" si="150"/>
        <v>0</v>
      </c>
      <c r="CR53" s="92">
        <f t="shared" si="151"/>
        <v>0</v>
      </c>
      <c r="CS53" s="92">
        <f t="shared" si="152"/>
        <v>0</v>
      </c>
      <c r="CT53" s="92">
        <f t="shared" si="153"/>
        <v>0</v>
      </c>
      <c r="CU53" s="127">
        <f t="shared" si="154"/>
        <v>0.15</v>
      </c>
      <c r="CV53" s="231">
        <f t="shared" si="155"/>
        <v>2.9429329260336326E-2</v>
      </c>
      <c r="CW53" s="188">
        <f t="shared" si="156"/>
        <v>0.29789455878900095</v>
      </c>
      <c r="CX53" s="206">
        <f t="shared" si="157"/>
        <v>7.7978945587890012</v>
      </c>
      <c r="CY53" s="231">
        <f t="shared" si="158"/>
        <v>0.96179807811670848</v>
      </c>
      <c r="CZ53">
        <f t="shared" si="159"/>
        <v>98.92</v>
      </c>
      <c r="DA53">
        <f t="shared" si="160"/>
        <v>846.04951298897356</v>
      </c>
      <c r="DD53" s="22">
        <v>500000</v>
      </c>
      <c r="DE53" s="22">
        <f t="shared" si="95"/>
        <v>3141592.653589793</v>
      </c>
      <c r="DF53" s="91">
        <f t="shared" si="96"/>
        <v>-14.421117332216589</v>
      </c>
      <c r="DG53" s="93">
        <f t="shared" si="97"/>
        <v>-13.749043149214701</v>
      </c>
      <c r="DH53" s="91">
        <f t="shared" si="98"/>
        <v>-55.231803426226108</v>
      </c>
      <c r="DI53" s="92">
        <f t="shared" si="99"/>
        <v>91.343047102290612</v>
      </c>
      <c r="DJ53" s="92">
        <f t="shared" si="55"/>
        <v>-37.816040215650652</v>
      </c>
      <c r="DK53" s="93">
        <f t="shared" si="100"/>
        <v>91.734758270450769</v>
      </c>
      <c r="DL53" s="91">
        <f t="shared" si="101"/>
        <v>-69.65292075844269</v>
      </c>
      <c r="DM53" s="92">
        <f t="shared" si="102"/>
        <v>77.594003953075912</v>
      </c>
      <c r="DN53" s="92">
        <f t="shared" si="103"/>
        <v>-52.237157547867241</v>
      </c>
      <c r="DO53" s="93">
        <f t="shared" si="104"/>
        <v>77.985715121236069</v>
      </c>
    </row>
    <row r="54" spans="1:119" ht="15.75" thickBot="1" x14ac:dyDescent="0.3">
      <c r="A54" s="12" t="s">
        <v>402</v>
      </c>
      <c r="B54" s="190">
        <f>COUTAUX_FlyB_DCM</f>
        <v>3.9999999999999998E-6</v>
      </c>
      <c r="C54" s="12" t="s">
        <v>343</v>
      </c>
      <c r="K54" s="58">
        <v>50</v>
      </c>
      <c r="L54" s="131">
        <f t="shared" si="56"/>
        <v>60</v>
      </c>
      <c r="M54" s="130">
        <f t="shared" si="57"/>
        <v>0.125</v>
      </c>
      <c r="N54" s="132">
        <f t="shared" si="0"/>
        <v>0.23078669805688543</v>
      </c>
      <c r="O54" s="52">
        <f t="shared" si="58"/>
        <v>0.16319083920367589</v>
      </c>
      <c r="P54" s="21">
        <f t="shared" si="59"/>
        <v>0.54162567016401175</v>
      </c>
      <c r="Q54" s="19">
        <f t="shared" si="60"/>
        <v>1.0832513403280237</v>
      </c>
      <c r="R54" s="6">
        <f t="shared" si="105"/>
        <v>0.66842734570343576</v>
      </c>
      <c r="S54" s="55">
        <f t="shared" si="61"/>
        <v>0.30045123568947979</v>
      </c>
      <c r="T54" s="133">
        <f t="shared" si="62"/>
        <v>0.27321410107704058</v>
      </c>
      <c r="U54" s="54">
        <f t="shared" si="106"/>
        <v>0.34618004708532812</v>
      </c>
      <c r="V54" s="21">
        <f t="shared" si="107"/>
        <v>2.8886702408747298</v>
      </c>
      <c r="W54" s="21">
        <f t="shared" si="64"/>
        <v>0.9812696267038824</v>
      </c>
      <c r="X54" s="63">
        <f t="shared" si="65"/>
        <v>0.84432818281257005</v>
      </c>
      <c r="Y54" s="54">
        <f t="shared" si="108"/>
        <v>0</v>
      </c>
      <c r="Z54" s="21">
        <f t="shared" si="109"/>
        <v>0</v>
      </c>
      <c r="AA54" s="21">
        <f t="shared" si="66"/>
        <v>0</v>
      </c>
      <c r="AB54" s="63">
        <f t="shared" si="67"/>
        <v>0</v>
      </c>
      <c r="AC54" s="52">
        <f t="shared" si="110"/>
        <v>0</v>
      </c>
      <c r="AD54" s="21">
        <f t="shared" si="111"/>
        <v>0</v>
      </c>
      <c r="AE54" s="21">
        <f t="shared" si="68"/>
        <v>0</v>
      </c>
      <c r="AF54" s="63">
        <f t="shared" si="69"/>
        <v>0</v>
      </c>
      <c r="AG54" s="52">
        <f t="shared" si="112"/>
        <v>0</v>
      </c>
      <c r="AH54" s="21">
        <f t="shared" si="113"/>
        <v>0</v>
      </c>
      <c r="AI54" s="21">
        <f t="shared" si="70"/>
        <v>0</v>
      </c>
      <c r="AJ54" s="63">
        <f t="shared" si="71"/>
        <v>0</v>
      </c>
      <c r="AK54" s="52">
        <f t="shared" si="114"/>
        <v>0</v>
      </c>
      <c r="AL54" s="21">
        <f t="shared" si="115"/>
        <v>0</v>
      </c>
      <c r="AM54" s="21">
        <f t="shared" si="72"/>
        <v>0</v>
      </c>
      <c r="AN54" s="63">
        <f t="shared" si="73"/>
        <v>0</v>
      </c>
      <c r="AO54" s="52">
        <f t="shared" si="116"/>
        <v>0</v>
      </c>
      <c r="AP54" s="21">
        <f t="shared" si="117"/>
        <v>0</v>
      </c>
      <c r="AQ54" s="21">
        <f t="shared" si="75"/>
        <v>0</v>
      </c>
      <c r="AR54" s="181">
        <f t="shared" si="76"/>
        <v>0</v>
      </c>
      <c r="AS54" s="53">
        <f t="shared" si="118"/>
        <v>0</v>
      </c>
      <c r="AT54" s="37">
        <f t="shared" si="119"/>
        <v>0</v>
      </c>
      <c r="AU54" s="37">
        <f t="shared" si="120"/>
        <v>0</v>
      </c>
      <c r="AV54" s="65">
        <f t="shared" si="121"/>
        <v>0</v>
      </c>
      <c r="AW54" s="182">
        <f t="shared" si="77"/>
        <v>0.38852979470856125</v>
      </c>
      <c r="AX54" s="52">
        <f t="shared" si="78"/>
        <v>0</v>
      </c>
      <c r="AY54" s="74">
        <f t="shared" si="79"/>
        <v>0</v>
      </c>
      <c r="AZ54" s="78">
        <f t="shared" si="80"/>
        <v>0</v>
      </c>
      <c r="BA54" s="87">
        <f t="shared" si="81"/>
        <v>0</v>
      </c>
      <c r="BB54" s="110">
        <f t="shared" si="82"/>
        <v>17871.758454157614</v>
      </c>
      <c r="BC54" s="69">
        <f t="shared" si="83"/>
        <v>13.403818840618211</v>
      </c>
      <c r="BD54" s="42">
        <f t="shared" si="84"/>
        <v>12928.9236132437</v>
      </c>
      <c r="BE54" s="79">
        <f t="shared" si="85"/>
        <v>9.6966927099327744</v>
      </c>
      <c r="BF54" s="119" t="e">
        <f t="shared" si="122"/>
        <v>#NUM!</v>
      </c>
      <c r="BG54" s="121" t="e">
        <f t="shared" si="123"/>
        <v>#NUM!</v>
      </c>
      <c r="BH54" s="119">
        <f t="shared" si="124"/>
        <v>3.9418515684774288E-4</v>
      </c>
      <c r="BI54" s="121">
        <f t="shared" si="125"/>
        <v>1.0542290881294061E-2</v>
      </c>
      <c r="BJ54" s="119">
        <f t="shared" si="126"/>
        <v>0</v>
      </c>
      <c r="BK54" s="121">
        <f t="shared" si="127"/>
        <v>0</v>
      </c>
      <c r="BL54" s="104">
        <f t="shared" si="128"/>
        <v>0</v>
      </c>
      <c r="BM54" s="108">
        <f t="shared" si="129"/>
        <v>0</v>
      </c>
      <c r="BN54" s="104">
        <f t="shared" si="130"/>
        <v>0</v>
      </c>
      <c r="BO54" s="108">
        <f t="shared" si="131"/>
        <v>0</v>
      </c>
      <c r="BP54" s="104">
        <f t="shared" si="132"/>
        <v>0</v>
      </c>
      <c r="BQ54" s="108">
        <f t="shared" si="133"/>
        <v>0</v>
      </c>
      <c r="BR54" s="104">
        <f t="shared" si="134"/>
        <v>0</v>
      </c>
      <c r="BS54" s="108">
        <f t="shared" si="135"/>
        <v>0</v>
      </c>
      <c r="BT54" s="189">
        <f t="shared" si="136"/>
        <v>0</v>
      </c>
      <c r="BU54" s="108">
        <f t="shared" si="137"/>
        <v>0</v>
      </c>
      <c r="BV54" s="119" t="e">
        <f t="shared" si="86"/>
        <v>#NUM!</v>
      </c>
      <c r="BW54" s="226" t="e">
        <f t="shared" si="87"/>
        <v>#NUM!</v>
      </c>
      <c r="BX54" s="226" t="e">
        <f t="shared" si="88"/>
        <v>#NUM!</v>
      </c>
      <c r="BY54" s="125" t="e">
        <f t="shared" si="89"/>
        <v>#NUM!</v>
      </c>
      <c r="BZ54" s="126" t="e">
        <f t="shared" si="90"/>
        <v>#NUM!</v>
      </c>
      <c r="CA54" s="104">
        <f t="shared" si="91"/>
        <v>1.0937500000000001E-3</v>
      </c>
      <c r="CB54" s="106">
        <f t="shared" si="138"/>
        <v>2.5000000000000001E-3</v>
      </c>
      <c r="CC54" s="106">
        <f t="shared" si="139"/>
        <v>0</v>
      </c>
      <c r="CD54" s="106">
        <f t="shared" si="140"/>
        <v>0</v>
      </c>
      <c r="CE54" s="106">
        <f t="shared" si="141"/>
        <v>0</v>
      </c>
      <c r="CF54" s="106">
        <f t="shared" si="142"/>
        <v>0</v>
      </c>
      <c r="CG54" s="106">
        <f t="shared" si="143"/>
        <v>0</v>
      </c>
      <c r="CH54" s="106">
        <f t="shared" si="144"/>
        <v>0</v>
      </c>
      <c r="CI54" s="128">
        <f t="shared" si="92"/>
        <v>3.5937500000000002E-3</v>
      </c>
      <c r="CJ54" s="104">
        <f t="shared" si="93"/>
        <v>7.8125000000000002E-5</v>
      </c>
      <c r="CK54" s="106">
        <f t="shared" si="145"/>
        <v>3.3750000000000002E-2</v>
      </c>
      <c r="CL54" s="106">
        <f t="shared" si="146"/>
        <v>8.1000000000000016E-2</v>
      </c>
      <c r="CM54" s="128">
        <f t="shared" si="94"/>
        <v>0.11482812500000002</v>
      </c>
      <c r="CN54" s="104">
        <f t="shared" si="147"/>
        <v>0.15</v>
      </c>
      <c r="CO54" s="106">
        <f t="shared" si="148"/>
        <v>0</v>
      </c>
      <c r="CP54" s="106">
        <f t="shared" si="149"/>
        <v>0</v>
      </c>
      <c r="CQ54" s="106">
        <f t="shared" si="150"/>
        <v>0</v>
      </c>
      <c r="CR54" s="106">
        <f t="shared" si="151"/>
        <v>0</v>
      </c>
      <c r="CS54" s="106">
        <f t="shared" si="152"/>
        <v>0</v>
      </c>
      <c r="CT54" s="106">
        <f t="shared" si="153"/>
        <v>0</v>
      </c>
      <c r="CU54" s="128">
        <f t="shared" si="154"/>
        <v>0.15</v>
      </c>
      <c r="CV54" s="232">
        <f t="shared" si="155"/>
        <v>2.9042478291480885E-2</v>
      </c>
      <c r="CW54" s="189">
        <f t="shared" si="156"/>
        <v>0.29746435329148091</v>
      </c>
      <c r="CX54" s="226">
        <f t="shared" si="157"/>
        <v>7.7974643532914811</v>
      </c>
      <c r="CY54" s="232">
        <f t="shared" si="158"/>
        <v>0.96185114290828211</v>
      </c>
      <c r="CZ54">
        <f t="shared" si="159"/>
        <v>100</v>
      </c>
      <c r="DA54">
        <f t="shared" si="160"/>
        <v>847.1295129889736</v>
      </c>
      <c r="DD54" s="22">
        <v>600000</v>
      </c>
      <c r="DE54" s="22">
        <f t="shared" si="95"/>
        <v>3769911.1843077517</v>
      </c>
      <c r="DF54" s="91">
        <f t="shared" si="96"/>
        <v>-14.496832228583008</v>
      </c>
      <c r="DG54" s="93">
        <f t="shared" si="97"/>
        <v>-11.524800662732464</v>
      </c>
      <c r="DH54" s="91">
        <f t="shared" si="98"/>
        <v>-56.814616592093394</v>
      </c>
      <c r="DI54" s="92">
        <f t="shared" si="99"/>
        <v>91.119279813740704</v>
      </c>
      <c r="DJ54" s="92">
        <f t="shared" si="55"/>
        <v>-39.398408899380925</v>
      </c>
      <c r="DK54" s="93">
        <f t="shared" si="100"/>
        <v>91.445773627653665</v>
      </c>
      <c r="DL54" s="91">
        <f t="shared" si="101"/>
        <v>-71.311448820676404</v>
      </c>
      <c r="DM54" s="92">
        <f t="shared" si="102"/>
        <v>79.594479151008244</v>
      </c>
      <c r="DN54" s="92">
        <f t="shared" si="103"/>
        <v>-53.895241127963935</v>
      </c>
      <c r="DO54" s="93">
        <f t="shared" si="104"/>
        <v>79.920972964921205</v>
      </c>
    </row>
    <row r="55" spans="1:119" ht="15" x14ac:dyDescent="0.25">
      <c r="A55" s="525" t="s">
        <v>423</v>
      </c>
      <c r="B55" s="525"/>
      <c r="C55" s="525"/>
      <c r="DD55" s="22">
        <v>700000</v>
      </c>
      <c r="DE55" s="22">
        <f t="shared" si="95"/>
        <v>4398229.7150257099</v>
      </c>
      <c r="DF55" s="91">
        <f t="shared" si="96"/>
        <v>-14.543132135430559</v>
      </c>
      <c r="DG55" s="93">
        <f t="shared" si="97"/>
        <v>-9.913757719956541</v>
      </c>
      <c r="DH55" s="91">
        <f t="shared" si="98"/>
        <v>-58.153062848232523</v>
      </c>
      <c r="DI55" s="92">
        <f t="shared" si="99"/>
        <v>90.959420895626053</v>
      </c>
      <c r="DJ55" s="92">
        <f t="shared" si="55"/>
        <v>-40.736587044830877</v>
      </c>
      <c r="DK55" s="93">
        <f t="shared" si="100"/>
        <v>91.23930781161063</v>
      </c>
      <c r="DL55" s="91">
        <f t="shared" si="101"/>
        <v>-72.696194983663077</v>
      </c>
      <c r="DM55" s="92">
        <f t="shared" si="102"/>
        <v>81.045663175669517</v>
      </c>
      <c r="DN55" s="92">
        <f t="shared" si="103"/>
        <v>-55.279719180261438</v>
      </c>
      <c r="DO55" s="93">
        <f t="shared" si="104"/>
        <v>81.325550091654094</v>
      </c>
    </row>
    <row r="56" spans="1:119" ht="15" x14ac:dyDescent="0.25">
      <c r="A56" s="204" t="s">
        <v>432</v>
      </c>
      <c r="B56" s="12">
        <f>IF(AND(Vout1&lt;&gt;0,Iout1&lt;&gt;0,Ns1_Flyback&lt;&gt;0),ABS(Vout1)+((Ns1_Flyback/Np)*VinMax),0)</f>
        <v>37.5</v>
      </c>
      <c r="C56" s="204" t="s">
        <v>5</v>
      </c>
      <c r="DD56" s="22">
        <v>800000</v>
      </c>
      <c r="DE56" s="22">
        <f t="shared" si="95"/>
        <v>5026548.2457436686</v>
      </c>
      <c r="DF56" s="91">
        <f t="shared" si="96"/>
        <v>-14.573448879795315</v>
      </c>
      <c r="DG56" s="93">
        <f t="shared" si="97"/>
        <v>-8.6948317469287399</v>
      </c>
      <c r="DH56" s="91">
        <f t="shared" si="98"/>
        <v>-59.312584030084224</v>
      </c>
      <c r="DI56" s="92">
        <f t="shared" si="99"/>
        <v>90.839514979150678</v>
      </c>
      <c r="DJ56" s="92">
        <f t="shared" si="55"/>
        <v>-41.895934171456766</v>
      </c>
      <c r="DK56" s="93">
        <f t="shared" si="100"/>
        <v>91.084435955069125</v>
      </c>
      <c r="DL56" s="91">
        <f t="shared" si="101"/>
        <v>-73.886032909879532</v>
      </c>
      <c r="DM56" s="92">
        <f t="shared" si="102"/>
        <v>82.144683232221936</v>
      </c>
      <c r="DN56" s="92">
        <f t="shared" si="103"/>
        <v>-56.46938305125208</v>
      </c>
      <c r="DO56" s="93">
        <f t="shared" si="104"/>
        <v>82.389604208140383</v>
      </c>
    </row>
    <row r="57" spans="1:119" ht="15" x14ac:dyDescent="0.25">
      <c r="A57" s="204" t="s">
        <v>433</v>
      </c>
      <c r="B57" s="12">
        <f>IF(AND(Vout2&lt;&gt;0,Iout2&lt;&gt;0,Ns2_Flyback&lt;&gt;0),ABS(Vout2)+((Ns2_Flyback/Np)*VinMax),0)</f>
        <v>0</v>
      </c>
      <c r="C57" s="204" t="s">
        <v>5</v>
      </c>
      <c r="DD57" s="22">
        <v>900000</v>
      </c>
      <c r="DE57" s="22">
        <f t="shared" si="95"/>
        <v>5654866.7764616273</v>
      </c>
      <c r="DF57" s="91">
        <f t="shared" si="96"/>
        <v>-14.59435690371806</v>
      </c>
      <c r="DG57" s="93">
        <f t="shared" si="97"/>
        <v>-7.7411946956882991</v>
      </c>
      <c r="DH57" s="91">
        <f t="shared" si="98"/>
        <v>-60.335416611885137</v>
      </c>
      <c r="DI57" s="92">
        <f t="shared" si="99"/>
        <v>90.746248759647102</v>
      </c>
      <c r="DJ57" s="92">
        <f t="shared" si="55"/>
        <v>-42.918647402878861</v>
      </c>
      <c r="DK57" s="93">
        <f t="shared" si="100"/>
        <v>90.963968438054749</v>
      </c>
      <c r="DL57" s="91">
        <f t="shared" si="101"/>
        <v>-74.929773515603202</v>
      </c>
      <c r="DM57" s="92">
        <f t="shared" si="102"/>
        <v>83.005054063958809</v>
      </c>
      <c r="DN57" s="92">
        <f t="shared" si="103"/>
        <v>-57.513004306596919</v>
      </c>
      <c r="DO57" s="93">
        <f t="shared" si="104"/>
        <v>83.222773742366456</v>
      </c>
    </row>
    <row r="58" spans="1:119" ht="15" x14ac:dyDescent="0.25">
      <c r="A58" s="204" t="s">
        <v>434</v>
      </c>
      <c r="B58" s="12">
        <f>IF(AND(Vout3&lt;&gt;0,Iout3&lt;&gt;0,Ns3_Flyback&lt;&gt;0),ABS(Vout3)+((Ns3_Flyback/Np)*VinMax),0)</f>
        <v>0</v>
      </c>
      <c r="C58" s="204" t="s">
        <v>5</v>
      </c>
      <c r="DD58" s="22">
        <v>1000000</v>
      </c>
      <c r="DE58" s="22">
        <f t="shared" si="95"/>
        <v>6283185.307179586</v>
      </c>
      <c r="DF58" s="91">
        <f t="shared" si="96"/>
        <v>-14.609374281863429</v>
      </c>
      <c r="DG58" s="93">
        <f t="shared" si="97"/>
        <v>-6.9751334932526747</v>
      </c>
      <c r="DH58" s="91">
        <f t="shared" si="98"/>
        <v>-61.25041057726628</v>
      </c>
      <c r="DI58" s="92">
        <f t="shared" si="99"/>
        <v>90.671632396382051</v>
      </c>
      <c r="DJ58" s="92">
        <f t="shared" si="55"/>
        <v>-43.833555988307531</v>
      </c>
      <c r="DK58" s="93">
        <f t="shared" si="100"/>
        <v>90.867587925858189</v>
      </c>
      <c r="DL58" s="91">
        <f t="shared" si="101"/>
        <v>-75.859784859129704</v>
      </c>
      <c r="DM58" s="92">
        <f t="shared" si="102"/>
        <v>83.696498903129381</v>
      </c>
      <c r="DN58" s="92">
        <f t="shared" si="103"/>
        <v>-58.442930270170962</v>
      </c>
      <c r="DO58" s="93">
        <f t="shared" si="104"/>
        <v>83.892454432605518</v>
      </c>
    </row>
    <row r="59" spans="1:119" ht="15.75" thickBot="1" x14ac:dyDescent="0.3">
      <c r="A59" s="204" t="s">
        <v>435</v>
      </c>
      <c r="B59" s="12">
        <f>IF(AND(Vout4&lt;&gt;0,Iout4&lt;&gt;0,Ns4_Flyback&lt;&gt;0),ABS(Vout4)+((Ns4_Flyback/Np)*VinMax),0)</f>
        <v>0</v>
      </c>
      <c r="C59" s="204" t="s">
        <v>5</v>
      </c>
      <c r="DD59" s="22">
        <v>2000000</v>
      </c>
      <c r="DE59" s="22">
        <f t="shared" si="95"/>
        <v>12566370.614359172</v>
      </c>
      <c r="DF59" s="104">
        <f t="shared" si="96"/>
        <v>-14.657741824008465</v>
      </c>
      <c r="DG59" s="108">
        <f t="shared" si="97"/>
        <v>-3.5005627008908156</v>
      </c>
      <c r="DH59" s="104">
        <f t="shared" si="98"/>
        <v>-67.270512156255776</v>
      </c>
      <c r="DI59" s="106">
        <f t="shared" si="99"/>
        <v>90.335829808543366</v>
      </c>
      <c r="DJ59" s="106">
        <f t="shared" si="55"/>
        <v>-49.853384523912041</v>
      </c>
      <c r="DK59" s="108">
        <f t="shared" si="100"/>
        <v>90.433820075668208</v>
      </c>
      <c r="DL59" s="104">
        <f t="shared" si="101"/>
        <v>-81.928253980264245</v>
      </c>
      <c r="DM59" s="106">
        <f t="shared" si="102"/>
        <v>86.835267107652555</v>
      </c>
      <c r="DN59" s="106">
        <f t="shared" si="103"/>
        <v>-64.511126347920509</v>
      </c>
      <c r="DO59" s="108">
        <f t="shared" si="104"/>
        <v>86.933257374777398</v>
      </c>
    </row>
    <row r="60" spans="1:119" ht="15.75" thickBot="1" x14ac:dyDescent="0.3">
      <c r="A60" s="204" t="s">
        <v>436</v>
      </c>
      <c r="B60" s="12">
        <f>IF(AND(Vout5&lt;&gt;0,Iout5&lt;&gt;0,Ns5_Flyback&lt;&gt;0),ABS(Vout5)+((Ns5_Flyback/Np)*VinMax),0)</f>
        <v>0</v>
      </c>
      <c r="C60" s="204" t="s">
        <v>5</v>
      </c>
      <c r="DC60" s="225" t="s">
        <v>989</v>
      </c>
      <c r="DD60">
        <f>B115</f>
        <v>10000</v>
      </c>
      <c r="DE60" s="22">
        <f t="shared" ref="DE60" si="161">DD60*2*PI()</f>
        <v>62831.853071795864</v>
      </c>
      <c r="DF60" s="104">
        <f t="shared" ref="DF60" si="162">20*LOG(IMABS(IMDIV(COMPLEX(1,DE60/$B$112),COMPLEX(1,DE60/$B$111)))*$B$110)</f>
        <v>7.1121407589304741</v>
      </c>
      <c r="DG60" s="108">
        <f t="shared" ref="DG60" si="163">IMARGUMENT(IMDIV(COMPLEX(1,DE60/$B$112),COMPLEX(1,DE60/$B$111)))*(180/PI())</f>
        <v>-84.862740774033441</v>
      </c>
      <c r="DH60" s="104"/>
      <c r="DI60" s="106"/>
      <c r="DJ60" s="106"/>
      <c r="DK60" s="108"/>
    </row>
    <row r="61" spans="1:119" ht="15" x14ac:dyDescent="0.25">
      <c r="A61" s="204" t="s">
        <v>437</v>
      </c>
      <c r="B61" s="12">
        <f>IF(AND(Vout6&lt;&gt;0,Iout6&lt;&gt;0,Ns6_Flyback&lt;&gt;0),ABS(Vout6)+((Ns6_Flyback/Np)*VinMax),0)</f>
        <v>0</v>
      </c>
      <c r="C61" s="204" t="s">
        <v>5</v>
      </c>
    </row>
    <row r="62" spans="1:119" ht="15" x14ac:dyDescent="0.25">
      <c r="A62" s="204" t="s">
        <v>438</v>
      </c>
      <c r="B62" s="12">
        <f>IF(AND(VOUTAUX&lt;&gt;0,IoutAux&lt;&gt;0,NsAux_Flyback&lt;&gt;0),ABS(VOUTAUX)+((NsAux_Flyback/Np)*VinMax),0)</f>
        <v>0</v>
      </c>
      <c r="C62" s="204" t="s">
        <v>5</v>
      </c>
    </row>
    <row r="63" spans="1:119" ht="15" x14ac:dyDescent="0.25">
      <c r="A63" s="11" t="s">
        <v>439</v>
      </c>
    </row>
    <row r="64" spans="1:119" ht="15" x14ac:dyDescent="0.25">
      <c r="A64" s="542" t="s">
        <v>469</v>
      </c>
      <c r="B64" s="543"/>
      <c r="C64" s="543"/>
    </row>
    <row r="65" spans="1:3" ht="15" x14ac:dyDescent="0.25">
      <c r="A65" s="214" t="s">
        <v>470</v>
      </c>
      <c r="B65" s="12">
        <f>'Flyback DCM'!B77</f>
        <v>94</v>
      </c>
      <c r="C65" s="12" t="s">
        <v>5</v>
      </c>
    </row>
    <row r="66" spans="1:3" x14ac:dyDescent="0.55000000000000004">
      <c r="A66" s="214" t="s">
        <v>473</v>
      </c>
      <c r="B66" s="6">
        <f>2*(Vclamp_Flyback_DCM-VinMin)*((Vclamp_Flyback_DCM-VinMin)-(ABS(Vout1)*(Np/Ns1_Flyback)))/(LL_Flyback_DCM*(ILpeak_Max_FlyB_DCM^2)*Fsw)</f>
        <v>87389.23636363633</v>
      </c>
      <c r="C66" s="215" t="s">
        <v>246</v>
      </c>
    </row>
    <row r="67" spans="1:3" x14ac:dyDescent="0.55000000000000004">
      <c r="A67" s="214" t="s">
        <v>472</v>
      </c>
      <c r="B67" s="12">
        <f>'Flyback DCM'!B80*1000</f>
        <v>4720</v>
      </c>
      <c r="C67" s="215" t="s">
        <v>246</v>
      </c>
    </row>
    <row r="68" spans="1:3" ht="15" x14ac:dyDescent="0.25">
      <c r="A68" s="205" t="s">
        <v>475</v>
      </c>
      <c r="B68">
        <f>'Flyback DCM'!B78/1000</f>
        <v>0.05</v>
      </c>
      <c r="C68" s="216" t="s">
        <v>5</v>
      </c>
    </row>
    <row r="69" spans="1:3" ht="15" x14ac:dyDescent="0.25">
      <c r="A69" s="214" t="s">
        <v>471</v>
      </c>
      <c r="B69" s="12">
        <f>(Vclamp_Flyback_DCM-VinMin)/(B68*Fsw*B67)</f>
        <v>1.3276836158192089E-6</v>
      </c>
      <c r="C69" s="215" t="s">
        <v>343</v>
      </c>
    </row>
    <row r="70" spans="1:3" ht="15" x14ac:dyDescent="0.25">
      <c r="A70" s="214" t="s">
        <v>477</v>
      </c>
      <c r="B70" s="176">
        <f>'Flyback DCM'!B82*(10^-6)</f>
        <v>3.0000000000000001E-6</v>
      </c>
      <c r="C70" s="215" t="s">
        <v>343</v>
      </c>
    </row>
    <row r="71" spans="1:3" ht="15" x14ac:dyDescent="0.25">
      <c r="A71" s="205" t="s">
        <v>476</v>
      </c>
      <c r="B71" s="217">
        <f>(Vclamp_Flyback_DCM-VinMin)/(B67*Fsw*B70)</f>
        <v>2.2128060263653482E-2</v>
      </c>
      <c r="C71" s="216" t="s">
        <v>5</v>
      </c>
    </row>
    <row r="72" spans="1:3" ht="15" x14ac:dyDescent="0.25">
      <c r="A72" s="544" t="s">
        <v>615</v>
      </c>
      <c r="B72" s="544"/>
      <c r="C72" s="544"/>
    </row>
    <row r="73" spans="1:3" ht="15" x14ac:dyDescent="0.25">
      <c r="A73" s="214" t="s">
        <v>518</v>
      </c>
      <c r="B73" s="12">
        <f>IF('Flyback DCM'!B41="LM5020",10,IF('Flyback DCM'!B41="LM5021",11,IF('Flyback DCM'!B41="LM5022",12,IF('Flyback DCM'!B41="LM5001",13,IF('Flyback DCM'!B41="LM3481",14,9)))))</f>
        <v>14</v>
      </c>
      <c r="C73" s="12"/>
    </row>
    <row r="74" spans="1:3" ht="15" x14ac:dyDescent="0.25">
      <c r="A74" s="214" t="s">
        <v>518</v>
      </c>
      <c r="B74" s="250" t="str">
        <f>VLOOKUP(B73,Parts!A4:BE17,2,FALSE)</f>
        <v>LM3481</v>
      </c>
      <c r="C74" s="12"/>
    </row>
    <row r="75" spans="1:3" ht="15" x14ac:dyDescent="0.25">
      <c r="A75" s="214" t="s">
        <v>0</v>
      </c>
      <c r="B75" s="12">
        <f>VLOOKUP(B73,Parts!A4:BG17,4,FALSE)</f>
        <v>2.97</v>
      </c>
      <c r="C75" s="12"/>
    </row>
    <row r="76" spans="1:3" ht="15" x14ac:dyDescent="0.25">
      <c r="A76" s="214" t="s">
        <v>2</v>
      </c>
      <c r="B76" s="12">
        <f>VLOOKUP(B73,Parts!A4:BG17,5,FALSE)</f>
        <v>48</v>
      </c>
      <c r="C76" s="12"/>
    </row>
    <row r="77" spans="1:3" ht="15" x14ac:dyDescent="0.25">
      <c r="A77" s="214" t="s">
        <v>541</v>
      </c>
      <c r="B77" s="12">
        <f>VLOOKUP(B73,Parts!A4:BG17,12,FALSE)</f>
        <v>0</v>
      </c>
      <c r="C77" s="12"/>
    </row>
    <row r="78" spans="1:3" ht="15" x14ac:dyDescent="0.25">
      <c r="A78" s="214" t="s">
        <v>542</v>
      </c>
      <c r="B78" s="12">
        <f>VLOOKUP(B73,Parts!A4:BG17,8,FALSE)</f>
        <v>1.2749999999999999</v>
      </c>
      <c r="C78" s="12"/>
    </row>
    <row r="79" spans="1:3" ht="15" x14ac:dyDescent="0.25">
      <c r="A79" s="214" t="s">
        <v>543</v>
      </c>
      <c r="B79" s="12">
        <f>VLOOKUP(B73,Parts!A4:BG17,18,FALSE)</f>
        <v>6</v>
      </c>
      <c r="C79" s="12"/>
    </row>
    <row r="80" spans="1:3" ht="15" x14ac:dyDescent="0.25">
      <c r="A80" s="214" t="s">
        <v>649</v>
      </c>
      <c r="B80" s="12">
        <f>VLOOKUP(B73,Parts!A4:BG17,44,FALSE)</f>
        <v>0.09</v>
      </c>
      <c r="C80" s="12" t="s">
        <v>5</v>
      </c>
    </row>
    <row r="81" spans="1:3" ht="15" x14ac:dyDescent="0.25">
      <c r="A81" s="214" t="s">
        <v>752</v>
      </c>
      <c r="B81" s="12">
        <f>VLOOKUP(B73,Parts!A4:BG17,25,FALSE)</f>
        <v>0.05</v>
      </c>
      <c r="C81" s="12"/>
    </row>
    <row r="82" spans="1:3" ht="15" x14ac:dyDescent="0.25">
      <c r="A82" s="214" t="s">
        <v>656</v>
      </c>
      <c r="B82" s="12">
        <f>VLOOKUP(B73,Parts!A4:BG17,58,FALSE)</f>
        <v>1</v>
      </c>
      <c r="C82" s="12"/>
    </row>
    <row r="83" spans="1:3" ht="15" x14ac:dyDescent="0.25">
      <c r="A83" s="214" t="s">
        <v>753</v>
      </c>
      <c r="B83" s="12">
        <f>B81*B82</f>
        <v>0.05</v>
      </c>
      <c r="C83" s="12"/>
    </row>
    <row r="84" spans="1:3" ht="15" x14ac:dyDescent="0.25">
      <c r="A84" s="214" t="s">
        <v>667</v>
      </c>
      <c r="B84">
        <f>IF(B74&lt;&gt;12,3,1)</f>
        <v>3</v>
      </c>
      <c r="C84" s="12"/>
    </row>
    <row r="85" spans="1:3" ht="15" x14ac:dyDescent="0.25">
      <c r="A85" s="214" t="s">
        <v>544</v>
      </c>
      <c r="B85" s="12" t="str">
        <f>VLOOKUP(B73,Parts!A4:BG17,20,FALSE)</f>
        <v>-</v>
      </c>
      <c r="C85" s="12"/>
    </row>
    <row r="86" spans="1:3" ht="15" x14ac:dyDescent="0.25">
      <c r="A86" s="214" t="s">
        <v>584</v>
      </c>
      <c r="B86" s="12" t="str">
        <f>VLOOKUP(B73,Parts!A4:BG17,21,FALSE)</f>
        <v>-</v>
      </c>
      <c r="C86" s="12"/>
    </row>
    <row r="87" spans="1:3" ht="15" x14ac:dyDescent="0.25">
      <c r="A87" s="214" t="s">
        <v>545</v>
      </c>
      <c r="B87" s="12">
        <f>VLOOKUP(B73,Parts!A4:BG17,22,FALSE)</f>
        <v>5.0000000000000001E-3</v>
      </c>
      <c r="C87" s="12"/>
    </row>
    <row r="88" spans="1:3" ht="15" x14ac:dyDescent="0.25">
      <c r="A88" s="214" t="s">
        <v>583</v>
      </c>
      <c r="B88" s="12">
        <f>VLOOKUP(B73,Parts!A4:BG17,23,FALSE)</f>
        <v>4.5000000000000006E-8</v>
      </c>
      <c r="C88" s="12"/>
    </row>
    <row r="89" spans="1:3" ht="15" x14ac:dyDescent="0.25">
      <c r="A89" s="214" t="s">
        <v>718</v>
      </c>
      <c r="B89" s="12">
        <f>VLOOKUP(B73,Parts!A4:BG17,26,FALSE)</f>
        <v>0.1</v>
      </c>
      <c r="C89" s="12" t="s">
        <v>5</v>
      </c>
    </row>
    <row r="90" spans="1:3" ht="15" x14ac:dyDescent="0.25">
      <c r="A90" s="214" t="s">
        <v>566</v>
      </c>
      <c r="B90" s="12" t="str">
        <f>VLOOKUP(B73,Parts!A4:BG17,27,FALSE)</f>
        <v>-</v>
      </c>
      <c r="C90" s="12"/>
    </row>
    <row r="91" spans="1:3" ht="15" x14ac:dyDescent="0.25">
      <c r="A91" s="214" t="s">
        <v>722</v>
      </c>
      <c r="B91" s="12">
        <f>VLOOKUP(B73,Parts!A4:BH17,60,FALSE)</f>
        <v>6</v>
      </c>
      <c r="C91" s="12" t="s">
        <v>5</v>
      </c>
    </row>
    <row r="92" spans="1:3" x14ac:dyDescent="0.55000000000000004">
      <c r="A92" s="214" t="s">
        <v>751</v>
      </c>
      <c r="B92" s="12">
        <f>VLOOKUP(B73,Parts!A4:BH17,38,FALSE)</f>
        <v>4700</v>
      </c>
      <c r="C92" s="215" t="s">
        <v>246</v>
      </c>
    </row>
    <row r="93" spans="1:3" ht="15" x14ac:dyDescent="0.25">
      <c r="A93" s="214" t="s">
        <v>901</v>
      </c>
      <c r="B93" s="12">
        <f>VLOOKUP(B73,Parts!A3:BK17,62,FALSE)</f>
        <v>21</v>
      </c>
      <c r="C93" s="215" t="s">
        <v>897</v>
      </c>
    </row>
    <row r="94" spans="1:3" ht="15" x14ac:dyDescent="0.25">
      <c r="A94" s="214" t="s">
        <v>900</v>
      </c>
      <c r="B94" s="12">
        <f>VLOOKUP(B73,Parts!A3:BK17,63,FALSE)</f>
        <v>4.1700000000000008</v>
      </c>
      <c r="C94" s="215" t="s">
        <v>896</v>
      </c>
    </row>
    <row r="95" spans="1:3" ht="15" x14ac:dyDescent="0.25">
      <c r="A95" s="214" t="s">
        <v>902</v>
      </c>
      <c r="B95" s="12">
        <f>VLOOKUP(B73,Parts!A3:BK17,57,FALSE)</f>
        <v>18</v>
      </c>
      <c r="C95" s="215" t="s">
        <v>897</v>
      </c>
    </row>
    <row r="96" spans="1:3" ht="15" x14ac:dyDescent="0.25">
      <c r="A96" s="214" t="s">
        <v>903</v>
      </c>
      <c r="B96" s="12">
        <f>VLOOKUP(B73,Parts!A3:BK17,61,FALSE)</f>
        <v>3.95</v>
      </c>
      <c r="C96" s="215" t="s">
        <v>896</v>
      </c>
    </row>
    <row r="97" spans="1:3" ht="15" x14ac:dyDescent="0.25">
      <c r="A97" s="214" t="s">
        <v>582</v>
      </c>
      <c r="B97" s="12"/>
      <c r="C97" s="12"/>
    </row>
    <row r="98" spans="1:3" ht="15" x14ac:dyDescent="0.25">
      <c r="A98" s="214" t="s">
        <v>582</v>
      </c>
      <c r="B98" s="12"/>
      <c r="C98" s="12"/>
    </row>
    <row r="99" spans="1:3" ht="15" x14ac:dyDescent="0.25">
      <c r="A99" s="214" t="s">
        <v>574</v>
      </c>
      <c r="B99" s="12">
        <f>'Flyback DCM'!B28/1000</f>
        <v>7.0000000000000007E-2</v>
      </c>
      <c r="C99" s="12"/>
    </row>
    <row r="100" spans="1:3" ht="15" x14ac:dyDescent="0.25">
      <c r="A100" s="214" t="s">
        <v>575</v>
      </c>
      <c r="B100" s="12">
        <f>'Flyback DCM'!G17/1000</f>
        <v>0.01</v>
      </c>
      <c r="C100" s="12"/>
    </row>
    <row r="101" spans="1:3" ht="15" x14ac:dyDescent="0.25">
      <c r="A101" s="214" t="s">
        <v>576</v>
      </c>
      <c r="B101" s="12">
        <f>'Flyback DCM'!G18/1000</f>
        <v>0.01</v>
      </c>
      <c r="C101" s="12"/>
    </row>
    <row r="102" spans="1:3" ht="15" x14ac:dyDescent="0.25">
      <c r="A102" s="214" t="s">
        <v>577</v>
      </c>
      <c r="B102" s="12">
        <f>'Flyback DCM'!G19/1000</f>
        <v>0</v>
      </c>
      <c r="C102" s="12"/>
    </row>
    <row r="103" spans="1:3" ht="15" x14ac:dyDescent="0.25">
      <c r="A103" s="214" t="s">
        <v>578</v>
      </c>
      <c r="B103" s="12">
        <f>'Flyback DCM'!G20/1000</f>
        <v>0</v>
      </c>
      <c r="C103" s="12"/>
    </row>
    <row r="104" spans="1:3" ht="15" x14ac:dyDescent="0.25">
      <c r="A104" s="214" t="s">
        <v>579</v>
      </c>
      <c r="B104" s="12">
        <f>'Flyback DCM'!G21/1000</f>
        <v>0</v>
      </c>
      <c r="C104" s="12"/>
    </row>
    <row r="105" spans="1:3" ht="15" x14ac:dyDescent="0.25">
      <c r="A105" s="214" t="s">
        <v>580</v>
      </c>
      <c r="B105" s="12">
        <f>'Flyback DCM'!G22/1000</f>
        <v>0</v>
      </c>
      <c r="C105" s="12"/>
    </row>
    <row r="106" spans="1:3" ht="15" x14ac:dyDescent="0.25">
      <c r="A106" s="214" t="s">
        <v>618</v>
      </c>
      <c r="B106" s="12">
        <f>'Flyback DCM'!G23/1000</f>
        <v>0.01</v>
      </c>
      <c r="C106" s="12"/>
    </row>
    <row r="107" spans="1:3" ht="15" x14ac:dyDescent="0.25">
      <c r="A107" s="544" t="s">
        <v>757</v>
      </c>
      <c r="B107" s="544"/>
      <c r="C107" s="544"/>
    </row>
    <row r="108" spans="1:3" x14ac:dyDescent="0.55000000000000004">
      <c r="A108" s="214" t="s">
        <v>754</v>
      </c>
      <c r="B108" s="12">
        <f>ABS(Vout1)/Iout1</f>
        <v>30</v>
      </c>
      <c r="C108" s="215" t="s">
        <v>246</v>
      </c>
    </row>
    <row r="109" spans="1:3" ht="15" x14ac:dyDescent="0.25">
      <c r="A109" s="214" t="s">
        <v>755</v>
      </c>
      <c r="B109" s="12">
        <f>1/B83</f>
        <v>20</v>
      </c>
      <c r="C109" s="12" t="s">
        <v>508</v>
      </c>
    </row>
    <row r="110" spans="1:3" ht="15" x14ac:dyDescent="0.25">
      <c r="A110" s="214" t="s">
        <v>756</v>
      </c>
      <c r="B110" s="21">
        <f>B109*SQRT((B108*Lm_Flyback_DCM*Fsw)/2)</f>
        <v>276.94403766826252</v>
      </c>
      <c r="C110" s="12" t="s">
        <v>508</v>
      </c>
    </row>
    <row r="111" spans="1:3" ht="15" x14ac:dyDescent="0.25">
      <c r="A111" s="214" t="s">
        <v>758</v>
      </c>
      <c r="B111" s="12">
        <f>2/(B108*'Flyback DCM'!B139*(10^-6))</f>
        <v>512.82051282051282</v>
      </c>
      <c r="C111" s="12" t="s">
        <v>759</v>
      </c>
    </row>
    <row r="112" spans="1:3" ht="15" x14ac:dyDescent="0.25">
      <c r="A112" s="214" t="s">
        <v>660</v>
      </c>
      <c r="B112" s="12">
        <f>1/('Flyback DCM'!B139*(10^-6)*'Flyback DCM'!B140*(10^-3))</f>
        <v>769230.76923076925</v>
      </c>
      <c r="C112" s="12" t="s">
        <v>759</v>
      </c>
    </row>
    <row r="113" spans="1:3" ht="15" x14ac:dyDescent="0.25">
      <c r="A113" s="214" t="s">
        <v>988</v>
      </c>
      <c r="B113" s="12">
        <f>'Flyback DCM'!B169*1000</f>
        <v>245</v>
      </c>
      <c r="C113" s="12" t="s">
        <v>683</v>
      </c>
    </row>
    <row r="114" spans="1:3" ht="15" x14ac:dyDescent="0.25">
      <c r="A114" s="214" t="s">
        <v>987</v>
      </c>
      <c r="B114" s="12">
        <f>'Flyback DCM'!B167*1000</f>
        <v>12243</v>
      </c>
      <c r="C114" s="12" t="s">
        <v>683</v>
      </c>
    </row>
    <row r="115" spans="1:3" ht="15" x14ac:dyDescent="0.25">
      <c r="A115" s="214" t="s">
        <v>986</v>
      </c>
      <c r="B115" s="12">
        <f>'Flyback DCM'!B165*1000</f>
        <v>10000</v>
      </c>
      <c r="C115" s="12" t="s">
        <v>683</v>
      </c>
    </row>
    <row r="116" spans="1:3" ht="15" x14ac:dyDescent="0.25">
      <c r="A116" s="214" t="s">
        <v>684</v>
      </c>
      <c r="B116" s="12">
        <f>10^(DF60/20)</f>
        <v>2.2678119422295762</v>
      </c>
      <c r="C116" s="12" t="s">
        <v>508</v>
      </c>
    </row>
    <row r="117" spans="1:3" ht="15" x14ac:dyDescent="0.25">
      <c r="A117" s="568" t="s">
        <v>760</v>
      </c>
      <c r="B117" s="568"/>
      <c r="C117" s="568"/>
    </row>
    <row r="118" spans="1:3" ht="15" x14ac:dyDescent="0.25">
      <c r="A118" s="444" t="s">
        <v>974</v>
      </c>
      <c r="B118" s="438">
        <f>'Flyback DCM'!B182*1000</f>
        <v>10000</v>
      </c>
      <c r="C118" s="438" t="s">
        <v>984</v>
      </c>
    </row>
    <row r="119" spans="1:3" ht="15" x14ac:dyDescent="0.25">
      <c r="A119" s="444" t="s">
        <v>969</v>
      </c>
      <c r="B119" s="438">
        <f>'Flyback DCM'!B179</f>
        <v>1.5</v>
      </c>
      <c r="C119" s="438" t="s">
        <v>508</v>
      </c>
    </row>
    <row r="120" spans="1:3" ht="15" x14ac:dyDescent="0.25">
      <c r="A120" s="444" t="s">
        <v>970</v>
      </c>
      <c r="B120" s="438">
        <f>B92</f>
        <v>4700</v>
      </c>
      <c r="C120" s="438" t="s">
        <v>985</v>
      </c>
    </row>
    <row r="121" spans="1:3" ht="15" x14ac:dyDescent="0.25">
      <c r="A121" s="444" t="s">
        <v>975</v>
      </c>
      <c r="B121" s="438">
        <f>'Flyback DCM'!B177</f>
        <v>1.25</v>
      </c>
      <c r="C121" s="438" t="s">
        <v>5</v>
      </c>
    </row>
    <row r="122" spans="1:3" ht="15" x14ac:dyDescent="0.25">
      <c r="A122" s="444" t="s">
        <v>976</v>
      </c>
      <c r="B122" s="438">
        <f>'Flyback DCM'!B180</f>
        <v>1</v>
      </c>
      <c r="C122" s="438" t="s">
        <v>5</v>
      </c>
    </row>
    <row r="123" spans="1:3" ht="15" x14ac:dyDescent="0.25">
      <c r="A123" s="444" t="s">
        <v>963</v>
      </c>
      <c r="B123" s="438">
        <f>((Vout1-B122-B121)/(B91))*B119*B120</f>
        <v>14981.25</v>
      </c>
      <c r="C123" s="438" t="s">
        <v>985</v>
      </c>
    </row>
    <row r="124" spans="1:3" ht="15" x14ac:dyDescent="0.25">
      <c r="A124" s="444" t="s">
        <v>972</v>
      </c>
      <c r="B124" s="438">
        <f>(B116*B119*B120*B113*SQRT((1+((B115/B113)^2))/(1+((B115/B114))^2)))/B115</f>
        <v>12386.224801307191</v>
      </c>
      <c r="C124" s="438" t="s">
        <v>985</v>
      </c>
    </row>
    <row r="125" spans="1:3" ht="15" x14ac:dyDescent="0.25">
      <c r="A125" s="444" t="s">
        <v>968</v>
      </c>
      <c r="B125" s="438">
        <f>'Flyback DCM'!B188*1000</f>
        <v>16870</v>
      </c>
      <c r="C125" s="438" t="s">
        <v>985</v>
      </c>
    </row>
    <row r="126" spans="1:3" ht="15" x14ac:dyDescent="0.25">
      <c r="A126" s="444" t="s">
        <v>998</v>
      </c>
      <c r="B126" s="438">
        <f>1/(2*PI()*B118*B113)</f>
        <v>6.49612012619981E-8</v>
      </c>
      <c r="C126" s="438" t="s">
        <v>343</v>
      </c>
    </row>
    <row r="127" spans="1:3" ht="15" x14ac:dyDescent="0.25">
      <c r="A127" s="444" t="s">
        <v>995</v>
      </c>
      <c r="B127" s="438">
        <f>'Flyback DCM'!B190*(10^-9)</f>
        <v>6.4000000000000004E-8</v>
      </c>
      <c r="C127" s="438" t="s">
        <v>343</v>
      </c>
    </row>
    <row r="128" spans="1:3" ht="15" x14ac:dyDescent="0.25">
      <c r="A128" s="444" t="s">
        <v>996</v>
      </c>
      <c r="B128" s="438">
        <f>1/(2*PI()*B120*B114)</f>
        <v>2.7658869435056306E-9</v>
      </c>
      <c r="C128" s="438" t="s">
        <v>343</v>
      </c>
    </row>
    <row r="129" spans="1:4" ht="15" x14ac:dyDescent="0.25">
      <c r="A129" s="444" t="s">
        <v>997</v>
      </c>
      <c r="B129" s="438">
        <f>'Flyback DCM'!B192*(10^-9)</f>
        <v>2.2000000000000003E-9</v>
      </c>
      <c r="C129" s="438" t="s">
        <v>343</v>
      </c>
    </row>
    <row r="130" spans="1:4" ht="15" x14ac:dyDescent="0.25">
      <c r="A130" s="214" t="s">
        <v>761</v>
      </c>
      <c r="B130" s="12">
        <f>'Flyback DCM'!B194*1000*2*PI()</f>
        <v>96711.79883945841</v>
      </c>
      <c r="C130" s="12" t="s">
        <v>759</v>
      </c>
      <c r="D130">
        <f>2*PI()*B130</f>
        <v>607658.15349899279</v>
      </c>
    </row>
    <row r="131" spans="1:4" ht="15" x14ac:dyDescent="0.25">
      <c r="A131" s="214" t="s">
        <v>762</v>
      </c>
      <c r="B131" s="12">
        <f>'Flyback DCM'!B193*1000*2*PI()</f>
        <v>1562.4999999999998</v>
      </c>
      <c r="C131" s="12" t="s">
        <v>759</v>
      </c>
      <c r="D131">
        <f>(B131)/2*PI()</f>
        <v>2454.3692606170257</v>
      </c>
    </row>
    <row r="132" spans="1:4" ht="15" x14ac:dyDescent="0.25">
      <c r="A132" s="214" t="s">
        <v>763</v>
      </c>
      <c r="B132" s="12">
        <f>'Flyback DCM'!B179*'Flyback DCM'!B175/('Flyback DCM'!B188*1000)</f>
        <v>0.4179016004742146</v>
      </c>
      <c r="C132" s="12" t="s">
        <v>508</v>
      </c>
    </row>
    <row r="133" spans="1:4" ht="15" x14ac:dyDescent="0.25">
      <c r="A133" s="214"/>
      <c r="B133" s="12"/>
      <c r="C133" s="12"/>
    </row>
    <row r="134" spans="1:4" ht="15" x14ac:dyDescent="0.25">
      <c r="A134" s="214"/>
      <c r="B134" s="12"/>
      <c r="C134" s="12"/>
    </row>
    <row r="135" spans="1:4" ht="15" x14ac:dyDescent="0.25">
      <c r="A135" s="524" t="s">
        <v>769</v>
      </c>
      <c r="B135" s="524"/>
      <c r="C135" s="524"/>
    </row>
    <row r="136" spans="1:4" ht="15" x14ac:dyDescent="0.25">
      <c r="A136" s="214" t="s">
        <v>770</v>
      </c>
      <c r="B136" s="8">
        <f>((2*PI()*'Flyback DCM'!B165*1000)/(B116))*SQRT((1+('Flyback DCM'!B165*1000/('Flyback DCM'!B167*1000))^2)/(1+('Flyback DCM'!B165*1000/('Flyback DCM'!B168*1000))^2))</f>
        <v>291.96539935766816</v>
      </c>
      <c r="C136" s="12"/>
    </row>
    <row r="137" spans="1:4" x14ac:dyDescent="0.55000000000000004">
      <c r="A137" s="214" t="s">
        <v>771</v>
      </c>
      <c r="B137" s="8">
        <f>'Flyback DCM'!B212*1000*2*PI()</f>
        <v>77833.125778331276</v>
      </c>
      <c r="C137" s="12" t="s">
        <v>759</v>
      </c>
    </row>
    <row r="138" spans="1:4" x14ac:dyDescent="0.55000000000000004">
      <c r="A138" s="214" t="s">
        <v>772</v>
      </c>
      <c r="B138" s="8">
        <f>'Flyback DCM'!B213*1000*2*PI()</f>
        <v>4176.4116271299708</v>
      </c>
      <c r="C138" s="12"/>
    </row>
  </sheetData>
  <mergeCells count="16">
    <mergeCell ref="DL2:DM2"/>
    <mergeCell ref="DN2:DO2"/>
    <mergeCell ref="A117:C117"/>
    <mergeCell ref="A135:C135"/>
    <mergeCell ref="A107:C107"/>
    <mergeCell ref="DH2:DI2"/>
    <mergeCell ref="DF2:DG2"/>
    <mergeCell ref="DJ2:DK2"/>
    <mergeCell ref="A64:C64"/>
    <mergeCell ref="A72:C72"/>
    <mergeCell ref="A55:C55"/>
    <mergeCell ref="BB2:BC2"/>
    <mergeCell ref="BD2:BE2"/>
    <mergeCell ref="A4:B4"/>
    <mergeCell ref="A9:B9"/>
    <mergeCell ref="A24:B24"/>
  </mergeCells>
  <conditionalFormatting sqref="K4:AW54">
    <cfRule type="expression" dxfId="5" priority="6">
      <formula>MOD(ROW(),2)=1</formula>
    </cfRule>
  </conditionalFormatting>
  <conditionalFormatting sqref="AX4:BE54">
    <cfRule type="expression" dxfId="4" priority="5">
      <formula>MOD(ROW(),2)=1</formula>
    </cfRule>
  </conditionalFormatting>
  <conditionalFormatting sqref="F9:H12">
    <cfRule type="cellIs" dxfId="3" priority="3" operator="equal">
      <formula>0</formula>
    </cfRule>
    <cfRule type="cellIs" dxfId="2" priority="4" operator="equal">
      <formula>1</formula>
    </cfRule>
  </conditionalFormatting>
  <conditionalFormatting sqref="F13:H13">
    <cfRule type="cellIs" dxfId="1" priority="1" operator="equal">
      <formula>0</formula>
    </cfRule>
    <cfRule type="cellIs" dxfId="0" priority="2" operator="equal">
      <formula>1</formula>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52"/>
  <sheetViews>
    <sheetView topLeftCell="A13" zoomScaleNormal="100" workbookViewId="0">
      <selection activeCell="F47" sqref="F47"/>
    </sheetView>
  </sheetViews>
  <sheetFormatPr defaultRowHeight="14.4" x14ac:dyDescent="0.55000000000000004"/>
  <cols>
    <col min="1" max="1" width="16" bestFit="1" customWidth="1"/>
    <col min="2" max="2" width="12" bestFit="1" customWidth="1"/>
    <col min="3" max="3" width="6.41796875" bestFit="1" customWidth="1"/>
    <col min="5" max="6" width="12" bestFit="1" customWidth="1"/>
    <col min="8" max="8" width="9.578125" bestFit="1" customWidth="1"/>
    <col min="9" max="9" width="12" bestFit="1" customWidth="1"/>
    <col min="14" max="14" width="10.26171875" bestFit="1" customWidth="1"/>
    <col min="15" max="15" width="14" customWidth="1"/>
    <col min="16" max="16" width="10.26171875" bestFit="1" customWidth="1"/>
    <col min="18" max="18" width="15.26171875" customWidth="1"/>
    <col min="30" max="30" width="10.26171875" bestFit="1" customWidth="1"/>
    <col min="44" max="44" width="10.26171875" bestFit="1" customWidth="1"/>
  </cols>
  <sheetData>
    <row r="1" spans="1:56" s="575" customFormat="1" x14ac:dyDescent="0.55000000000000004">
      <c r="A1" s="575" t="s">
        <v>925</v>
      </c>
    </row>
    <row r="2" spans="1:56" s="575" customFormat="1" x14ac:dyDescent="0.55000000000000004"/>
    <row r="3" spans="1:56" ht="19.5" thickBot="1" x14ac:dyDescent="0.35">
      <c r="A3" s="576" t="s">
        <v>868</v>
      </c>
      <c r="B3" s="576"/>
      <c r="C3" s="576"/>
      <c r="D3" s="274"/>
    </row>
    <row r="4" spans="1:56" ht="15.75" thickBot="1" x14ac:dyDescent="0.3">
      <c r="A4" s="284"/>
      <c r="B4" s="274" t="s">
        <v>867</v>
      </c>
      <c r="C4" s="274"/>
      <c r="D4" s="274"/>
      <c r="E4" s="294"/>
      <c r="G4" s="92" t="s">
        <v>236</v>
      </c>
    </row>
    <row r="5" spans="1:56" ht="16.5" customHeight="1" thickBot="1" x14ac:dyDescent="0.3">
      <c r="A5" s="275"/>
      <c r="B5" s="274" t="s">
        <v>869</v>
      </c>
      <c r="C5" s="274"/>
      <c r="D5" s="274"/>
    </row>
    <row r="6" spans="1:56" ht="16.5" customHeight="1" thickBot="1" x14ac:dyDescent="0.3">
      <c r="A6" s="276"/>
      <c r="B6" s="274" t="s">
        <v>870</v>
      </c>
      <c r="C6" s="274"/>
      <c r="D6" s="274"/>
    </row>
    <row r="7" spans="1:56" ht="16.5" customHeight="1" thickBot="1" x14ac:dyDescent="0.3"/>
    <row r="8" spans="1:56" s="572" customFormat="1" ht="14.7" thickBot="1" x14ac:dyDescent="0.6">
      <c r="A8" s="571" t="s">
        <v>45</v>
      </c>
      <c r="B8" s="571"/>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row>
    <row r="9" spans="1:56" s="572" customFormat="1" x14ac:dyDescent="0.55000000000000004">
      <c r="A9" s="571"/>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row>
    <row r="10" spans="1:56" ht="15" x14ac:dyDescent="0.25">
      <c r="A10" s="91"/>
      <c r="B10" s="92"/>
      <c r="C10" s="92"/>
      <c r="D10" s="92"/>
      <c r="E10" s="92" t="s">
        <v>263</v>
      </c>
      <c r="F10" s="92"/>
      <c r="G10" s="92"/>
      <c r="H10" s="92"/>
      <c r="I10" s="92"/>
      <c r="J10" s="92"/>
      <c r="K10" s="92"/>
      <c r="L10" s="92"/>
      <c r="M10" s="93"/>
    </row>
    <row r="11" spans="1:56" ht="15" x14ac:dyDescent="0.25">
      <c r="A11" s="91"/>
      <c r="B11" s="92"/>
      <c r="C11" s="92"/>
      <c r="D11" s="92"/>
      <c r="E11" s="92" t="e">
        <f>MATCH(Kg_FB,Trans_Core!B2:B7,-1)</f>
        <v>#NUM!</v>
      </c>
      <c r="F11" s="92"/>
      <c r="G11" s="92"/>
      <c r="H11" s="92"/>
      <c r="I11" s="92"/>
      <c r="J11" s="92"/>
      <c r="K11" s="92"/>
      <c r="L11" s="92"/>
      <c r="M11" s="93"/>
    </row>
    <row r="12" spans="1:56" ht="15" x14ac:dyDescent="0.25">
      <c r="A12" s="91"/>
      <c r="B12" s="92"/>
      <c r="C12" s="92"/>
      <c r="D12" s="92"/>
      <c r="E12" s="92"/>
      <c r="F12" s="92"/>
      <c r="G12" s="92"/>
      <c r="H12" s="92"/>
      <c r="I12" s="92"/>
      <c r="J12" s="92"/>
      <c r="K12" s="92"/>
      <c r="L12" s="92"/>
      <c r="M12" s="93"/>
    </row>
    <row r="13" spans="1:56" ht="15" x14ac:dyDescent="0.25">
      <c r="A13" s="91" t="s">
        <v>62</v>
      </c>
      <c r="B13" s="92"/>
      <c r="C13" s="92"/>
      <c r="D13" s="92"/>
      <c r="E13" s="523" t="s">
        <v>157</v>
      </c>
      <c r="F13" s="523"/>
      <c r="G13" s="94"/>
      <c r="H13" s="94"/>
      <c r="I13" s="94"/>
      <c r="J13" s="92"/>
      <c r="K13" s="92"/>
      <c r="L13" s="92"/>
      <c r="M13" s="93"/>
    </row>
    <row r="14" spans="1:56" ht="15" x14ac:dyDescent="0.25">
      <c r="A14" s="91" t="s">
        <v>22</v>
      </c>
      <c r="B14" s="12">
        <f>Pout_FB</f>
        <v>7.5</v>
      </c>
      <c r="C14" s="92" t="s">
        <v>86</v>
      </c>
      <c r="D14" s="92"/>
      <c r="E14" s="92" t="s">
        <v>106</v>
      </c>
      <c r="F14" s="111" t="e">
        <f>VLOOKUP(T_Index_FB,Trans_Core!A2:H7,3,FALSE)</f>
        <v>#NUM!</v>
      </c>
      <c r="G14" s="92"/>
      <c r="H14" s="92"/>
      <c r="I14" s="92"/>
      <c r="J14" s="92"/>
      <c r="K14" s="92"/>
      <c r="L14" s="92"/>
      <c r="M14" s="93"/>
    </row>
    <row r="15" spans="1:56" ht="15" x14ac:dyDescent="0.25">
      <c r="A15" s="91" t="s">
        <v>141</v>
      </c>
      <c r="B15" s="289">
        <v>0.5</v>
      </c>
      <c r="C15" s="92"/>
      <c r="D15" s="92"/>
      <c r="E15" s="92" t="s">
        <v>79</v>
      </c>
      <c r="F15" s="111" t="e">
        <f>VLOOKUP(T_Index_FB,Trans_Core!A2:H7,6,FALSE)</f>
        <v>#NUM!</v>
      </c>
      <c r="G15" s="92" t="s">
        <v>85</v>
      </c>
      <c r="H15" s="92"/>
      <c r="I15" s="92"/>
      <c r="J15" s="92"/>
      <c r="K15" s="92"/>
      <c r="L15" s="92"/>
      <c r="M15" s="93"/>
    </row>
    <row r="16" spans="1:56" ht="15" x14ac:dyDescent="0.25">
      <c r="A16" s="91" t="s">
        <v>143</v>
      </c>
      <c r="B16" s="289">
        <v>1.5</v>
      </c>
      <c r="C16" s="92" t="s">
        <v>86</v>
      </c>
      <c r="D16" s="92"/>
      <c r="E16" s="92" t="s">
        <v>80</v>
      </c>
      <c r="F16" s="96" t="e">
        <f>VLOOKUP(T_Index_FB,Trans_Core!A2:H7,5,FALSE)</f>
        <v>#NUM!</v>
      </c>
      <c r="G16" s="92" t="s">
        <v>84</v>
      </c>
      <c r="H16" s="92"/>
      <c r="I16" s="92"/>
      <c r="J16" s="92"/>
      <c r="K16" s="92"/>
      <c r="L16" s="92"/>
      <c r="M16" s="93"/>
    </row>
    <row r="17" spans="1:13" ht="15" x14ac:dyDescent="0.25">
      <c r="A17" s="91" t="s">
        <v>82</v>
      </c>
      <c r="B17" s="289">
        <v>0.25</v>
      </c>
      <c r="C17" s="92" t="s">
        <v>149</v>
      </c>
      <c r="D17" s="92"/>
      <c r="E17" s="92" t="s">
        <v>81</v>
      </c>
      <c r="F17" s="111" t="e">
        <f>VLOOKUP(T_Index_FB,Trans_Core!A2:H7,4,FALSE)</f>
        <v>#NUM!</v>
      </c>
      <c r="G17" s="92" t="s">
        <v>83</v>
      </c>
      <c r="H17" s="92"/>
      <c r="I17" s="92"/>
      <c r="J17" s="92"/>
      <c r="K17" s="92"/>
      <c r="L17" s="92"/>
      <c r="M17" s="93"/>
    </row>
    <row r="18" spans="1:13" ht="15" x14ac:dyDescent="0.25">
      <c r="A18" s="91" t="s">
        <v>144</v>
      </c>
      <c r="B18" s="39" t="e">
        <f>(pcu*(Lm_FlyB^2)*(ILrms_Total_Max_FB^2)*(ILpeak_Max_FB^2)*(10^8))/((Bmax_FB^2)*Pcu_Loss_FB*Ku_FB)</f>
        <v>#NUM!</v>
      </c>
      <c r="C18" s="92" t="s">
        <v>150</v>
      </c>
      <c r="D18" s="92"/>
      <c r="E18" s="92" t="s">
        <v>168</v>
      </c>
      <c r="F18" s="111" t="e">
        <f>VLOOKUP(T_Index_FB,Trans_Core!A2:H7,7,FALSE)</f>
        <v>#NUM!</v>
      </c>
      <c r="G18" s="92" t="s">
        <v>84</v>
      </c>
      <c r="H18" s="92"/>
      <c r="I18" s="92"/>
      <c r="J18" s="92"/>
      <c r="K18" s="92"/>
      <c r="L18" s="92"/>
      <c r="M18" s="93"/>
    </row>
    <row r="19" spans="1:13" ht="15" x14ac:dyDescent="0.25">
      <c r="A19" s="91"/>
      <c r="B19" s="92"/>
      <c r="C19" s="92"/>
      <c r="D19" s="92"/>
      <c r="E19" s="92" t="s">
        <v>226</v>
      </c>
      <c r="F19" s="111" t="e">
        <f>VLOOKUP(T_Index_FB,Trans_Core!A2:H7,8,FALSE)</f>
        <v>#NUM!</v>
      </c>
      <c r="G19" s="92" t="s">
        <v>85</v>
      </c>
      <c r="H19" s="92"/>
      <c r="I19" s="92"/>
      <c r="J19" s="92"/>
      <c r="K19" s="92"/>
      <c r="L19" s="92"/>
      <c r="M19" s="93"/>
    </row>
    <row r="20" spans="1:13" ht="15" x14ac:dyDescent="0.25">
      <c r="A20" s="91" t="s">
        <v>79</v>
      </c>
      <c r="B20" s="289">
        <v>29.7</v>
      </c>
      <c r="C20" s="92" t="s">
        <v>85</v>
      </c>
      <c r="D20" s="92"/>
      <c r="E20" s="92"/>
      <c r="F20" s="92"/>
      <c r="G20" s="92"/>
      <c r="H20" s="92"/>
      <c r="I20" s="92" t="s">
        <v>236</v>
      </c>
      <c r="J20" s="92"/>
      <c r="K20" s="92"/>
      <c r="L20" s="92"/>
      <c r="M20" s="93"/>
    </row>
    <row r="21" spans="1:13" ht="15" x14ac:dyDescent="0.25">
      <c r="A21" s="91" t="s">
        <v>80</v>
      </c>
      <c r="B21" s="289">
        <v>12.4</v>
      </c>
      <c r="C21" s="92" t="s">
        <v>84</v>
      </c>
      <c r="D21" s="92"/>
      <c r="E21" s="97"/>
      <c r="F21" s="92"/>
      <c r="G21" s="92"/>
      <c r="H21" s="92"/>
      <c r="I21" s="92"/>
      <c r="J21" s="92"/>
      <c r="K21" s="92"/>
      <c r="L21" s="92"/>
      <c r="M21" s="93"/>
    </row>
    <row r="22" spans="1:13" ht="15" x14ac:dyDescent="0.25">
      <c r="A22" s="91" t="s">
        <v>81</v>
      </c>
      <c r="B22" s="289">
        <v>369</v>
      </c>
      <c r="C22" s="92" t="s">
        <v>83</v>
      </c>
      <c r="D22" s="92"/>
      <c r="E22" s="98"/>
      <c r="F22" s="92"/>
      <c r="G22" s="92"/>
      <c r="H22" s="92"/>
      <c r="I22" s="92"/>
      <c r="J22" s="92"/>
      <c r="K22" s="92"/>
      <c r="L22" s="92"/>
      <c r="M22" s="93"/>
    </row>
    <row r="23" spans="1:13" ht="15" x14ac:dyDescent="0.25">
      <c r="A23" s="91" t="s">
        <v>168</v>
      </c>
      <c r="B23" s="289">
        <v>10.4</v>
      </c>
      <c r="C23" s="92" t="s">
        <v>84</v>
      </c>
      <c r="D23" s="92"/>
      <c r="E23" s="92"/>
      <c r="F23" s="92"/>
      <c r="G23" s="92"/>
      <c r="H23" s="92"/>
      <c r="I23" s="92"/>
      <c r="J23" s="92"/>
      <c r="K23" s="92"/>
      <c r="L23" s="92"/>
      <c r="M23" s="93"/>
    </row>
    <row r="24" spans="1:13" ht="15" x14ac:dyDescent="0.25">
      <c r="A24" s="91" t="s">
        <v>226</v>
      </c>
      <c r="B24" s="289">
        <v>29.6</v>
      </c>
      <c r="C24" s="92" t="s">
        <v>85</v>
      </c>
      <c r="D24" s="92"/>
      <c r="E24" s="92"/>
      <c r="F24" s="92"/>
      <c r="G24" s="92"/>
      <c r="H24" s="92"/>
      <c r="I24" s="92"/>
      <c r="J24" s="92"/>
      <c r="K24" s="92"/>
      <c r="L24" s="92"/>
      <c r="M24" s="93"/>
    </row>
    <row r="25" spans="1:13" ht="15" x14ac:dyDescent="0.25">
      <c r="A25" s="91" t="s">
        <v>166</v>
      </c>
      <c r="B25" s="21">
        <f>((PermAir*Lm_FlyB*(ILpeak_Max_FB^2))/((Bmax_FB^2)*(Ae_FB/100)))*(10^4)*1000</f>
        <v>6.422530142621069E-2</v>
      </c>
      <c r="C25" s="92" t="s">
        <v>85</v>
      </c>
      <c r="D25" s="92"/>
      <c r="E25" s="92"/>
      <c r="F25" s="92"/>
      <c r="G25" s="92"/>
      <c r="H25" s="92"/>
      <c r="I25" s="92"/>
      <c r="J25" s="92"/>
      <c r="K25" s="92"/>
      <c r="L25" s="92"/>
      <c r="M25" s="93"/>
    </row>
    <row r="26" spans="1:13" ht="15" x14ac:dyDescent="0.25">
      <c r="A26" s="99" t="s">
        <v>184</v>
      </c>
      <c r="B26" s="111"/>
      <c r="C26" s="92"/>
      <c r="D26" s="92"/>
      <c r="E26" s="111" t="s">
        <v>183</v>
      </c>
      <c r="F26" s="92"/>
      <c r="G26" s="92"/>
      <c r="H26" s="92"/>
      <c r="I26" s="92"/>
      <c r="J26" s="92"/>
      <c r="K26" s="92"/>
      <c r="L26" s="92"/>
      <c r="M26" s="93"/>
    </row>
    <row r="27" spans="1:13" ht="15" x14ac:dyDescent="0.25">
      <c r="A27" s="91" t="s">
        <v>167</v>
      </c>
      <c r="B27" s="12">
        <f>CEILING(((Lm_FlyB*ILpeak_Max_FB)/(Bmax_FB*(Ae_FB/100)))*(10^4),1)</f>
        <v>16</v>
      </c>
      <c r="C27" s="92"/>
      <c r="D27" s="92"/>
      <c r="E27" s="92"/>
      <c r="F27" s="92"/>
      <c r="G27" s="92"/>
      <c r="H27" s="92"/>
      <c r="I27" s="92"/>
      <c r="J27" s="92"/>
      <c r="K27" s="92"/>
      <c r="L27" s="92"/>
      <c r="M27" s="93"/>
    </row>
    <row r="28" spans="1:13" x14ac:dyDescent="0.55000000000000004">
      <c r="A28" s="91" t="s">
        <v>98</v>
      </c>
      <c r="B28" s="289">
        <v>21</v>
      </c>
      <c r="C28" s="92"/>
      <c r="D28" s="100" t="s">
        <v>182</v>
      </c>
      <c r="E28" s="101" t="e">
        <f>(Np_T_FB*ILrms_Ipri_FB)/(Np_T_FB*ILrms_Total_Max_FB)</f>
        <v>#NUM!</v>
      </c>
      <c r="F28" s="92"/>
      <c r="G28" s="92"/>
      <c r="H28" s="92"/>
      <c r="I28" s="92"/>
      <c r="J28" s="92"/>
      <c r="K28" s="92"/>
      <c r="L28" s="92"/>
      <c r="M28" s="93"/>
    </row>
    <row r="29" spans="1:13" x14ac:dyDescent="0.55000000000000004">
      <c r="A29" s="91" t="s">
        <v>99</v>
      </c>
      <c r="B29" s="12">
        <f>ROUND((Ns1_FlyB/Np)*Np_T_FB,0)</f>
        <v>32</v>
      </c>
      <c r="C29" s="92"/>
      <c r="D29" s="100" t="s">
        <v>176</v>
      </c>
      <c r="E29" s="101" t="e">
        <f>(NVout1_T_FB*ILrms_VOUT1_FB)/(Np_T_FB*ILrms_Total_Max_FB)</f>
        <v>#NUM!</v>
      </c>
      <c r="F29" s="92"/>
      <c r="G29" s="92"/>
      <c r="H29" s="92"/>
      <c r="I29" s="92"/>
      <c r="J29" s="92"/>
      <c r="K29" s="92"/>
      <c r="L29" s="92"/>
      <c r="M29" s="93"/>
    </row>
    <row r="30" spans="1:13" x14ac:dyDescent="0.55000000000000004">
      <c r="A30" s="91" t="s">
        <v>100</v>
      </c>
      <c r="B30" s="12">
        <f>ROUND((Ns2_FlyB/Np)*Np_T_FB,0)</f>
        <v>0</v>
      </c>
      <c r="C30" s="92"/>
      <c r="D30" s="100" t="s">
        <v>177</v>
      </c>
      <c r="E30" s="101" t="e">
        <f>(NVout2_T_FB*ILrms_VOUT2_FB)/(Np_T_FB*ILrms_Total_Max_FB)</f>
        <v>#NUM!</v>
      </c>
      <c r="F30" s="92"/>
      <c r="G30" s="92"/>
      <c r="H30" s="92"/>
      <c r="I30" s="92"/>
      <c r="J30" s="92"/>
      <c r="K30" s="92"/>
      <c r="L30" s="92"/>
      <c r="M30" s="93"/>
    </row>
    <row r="31" spans="1:13" x14ac:dyDescent="0.55000000000000004">
      <c r="A31" s="91" t="s">
        <v>101</v>
      </c>
      <c r="B31" s="12">
        <f>ROUND((Ns3_FlyB/Np)*Np_T_FB,0)</f>
        <v>0</v>
      </c>
      <c r="C31" s="92"/>
      <c r="D31" s="100" t="s">
        <v>178</v>
      </c>
      <c r="E31" s="101" t="e">
        <f>(NVout3_T_FB*ILrms_VOUT3_FB)/(Np_T_FB*ILrms_Total_Max_FB)</f>
        <v>#NUM!</v>
      </c>
      <c r="F31" s="92"/>
      <c r="G31" s="92"/>
      <c r="H31" s="92"/>
      <c r="I31" s="92"/>
      <c r="J31" s="92"/>
      <c r="K31" s="92"/>
      <c r="L31" s="92"/>
      <c r="M31" s="93"/>
    </row>
    <row r="32" spans="1:13" x14ac:dyDescent="0.55000000000000004">
      <c r="A32" s="91" t="s">
        <v>102</v>
      </c>
      <c r="B32" s="12">
        <f>ROUND((Ns4_FlyB/Np)*Np_T_FB,0)</f>
        <v>0</v>
      </c>
      <c r="C32" s="92"/>
      <c r="D32" s="100" t="s">
        <v>179</v>
      </c>
      <c r="E32" s="101" t="e">
        <f>(NVout4_T_FB*ILrms_VOUT4_FB)/(Np_T_FB*ILrms_Total_Max_FB)</f>
        <v>#NUM!</v>
      </c>
      <c r="F32" s="92"/>
      <c r="G32" s="92"/>
      <c r="H32" s="92"/>
      <c r="I32" s="92"/>
      <c r="J32" s="92"/>
      <c r="K32" s="92"/>
      <c r="L32" s="92"/>
      <c r="M32" s="93"/>
    </row>
    <row r="33" spans="1:56" x14ac:dyDescent="0.55000000000000004">
      <c r="A33" s="91" t="s">
        <v>103</v>
      </c>
      <c r="B33" s="12">
        <f>ROUND((Ns5_FlyB/Np)*Np_T_FB,0)</f>
        <v>0</v>
      </c>
      <c r="C33" s="92"/>
      <c r="D33" s="100" t="s">
        <v>180</v>
      </c>
      <c r="E33" s="101" t="e">
        <f>(NVout5_T_FB*ILrms_VOUT5_FB)/(Np_T_FB*ILrms_Total_Max_FB)</f>
        <v>#NUM!</v>
      </c>
      <c r="F33" s="92"/>
      <c r="G33" s="92"/>
      <c r="H33" s="92"/>
      <c r="I33" s="92"/>
      <c r="J33" s="92"/>
      <c r="K33" s="92"/>
      <c r="L33" s="92"/>
      <c r="M33" s="93"/>
    </row>
    <row r="34" spans="1:56" x14ac:dyDescent="0.55000000000000004">
      <c r="A34" s="91" t="s">
        <v>104</v>
      </c>
      <c r="B34" s="12">
        <f>ROUND((Ns6_FlyB/Np)*Np_T_FB,0)</f>
        <v>0</v>
      </c>
      <c r="C34" s="92"/>
      <c r="D34" s="100" t="s">
        <v>181</v>
      </c>
      <c r="E34" s="101" t="e">
        <f>(NVout6_T_FB*ILrms_VOUT6_FB)/(Np_T_FB*ILrms_Total_Max_FB)</f>
        <v>#NUM!</v>
      </c>
      <c r="F34" s="92"/>
      <c r="G34" s="92"/>
      <c r="H34" s="92"/>
      <c r="I34" s="92"/>
      <c r="J34" s="92"/>
      <c r="K34" s="92"/>
      <c r="L34" s="92"/>
      <c r="M34" s="93"/>
    </row>
    <row r="35" spans="1:56" ht="15" x14ac:dyDescent="0.25">
      <c r="A35" s="91"/>
      <c r="B35" s="92"/>
      <c r="C35" s="92"/>
      <c r="D35" s="100" t="s">
        <v>266</v>
      </c>
      <c r="E35" s="92" t="s">
        <v>24</v>
      </c>
      <c r="F35" s="92"/>
      <c r="G35" s="92" t="s">
        <v>275</v>
      </c>
      <c r="H35" s="92"/>
      <c r="I35" s="92"/>
      <c r="K35" s="92"/>
      <c r="L35" s="92"/>
      <c r="M35" s="115"/>
    </row>
    <row r="36" spans="1:56" x14ac:dyDescent="0.55000000000000004">
      <c r="A36" s="91" t="s">
        <v>185</v>
      </c>
      <c r="B36" s="98" t="e">
        <f>(aPri_FB*Ku_FB*(Wa_FB/100))/Np_T_FB</f>
        <v>#NUM!</v>
      </c>
      <c r="C36" s="92" t="s">
        <v>192</v>
      </c>
      <c r="D36" s="92" t="e">
        <f>IF(AwPri_FB&lt;&gt;0,IF(VLOOKUP(AwPri_FB,Trans_Core!X2:Z24,1,TRUE)&lt;AwPri_FB,VLOOKUP(AwPri_FB,Trans_Core!X2:Z24,2,TRUE)-1,VLOOKUP(AwPri_FB,Trans_Core!X2:Z24,1,TRUE)),0)</f>
        <v>#NUM!</v>
      </c>
      <c r="E36" s="292">
        <v>27</v>
      </c>
      <c r="F36" s="92" t="s">
        <v>193</v>
      </c>
      <c r="G36" s="98" t="e">
        <f>IF(AwPri_FB&lt;&gt;0,VLOOKUP(AWG_FB,Trans_Core!AC2:AD26,2,TRUE),0)</f>
        <v>#NUM!</v>
      </c>
      <c r="H36" s="92" t="s">
        <v>192</v>
      </c>
      <c r="I36" s="92" t="s">
        <v>229</v>
      </c>
      <c r="J36" s="103" t="e">
        <f>IF(AwPri_FB&lt;&gt;0,pcu_100C*((MLT_FB/10)*Np_T_FB)/G36,0)</f>
        <v>#NUM!</v>
      </c>
      <c r="K36" s="100" t="s">
        <v>246</v>
      </c>
      <c r="L36" s="92" t="s">
        <v>239</v>
      </c>
      <c r="M36" s="93" t="e">
        <f>IF((G36/2)&lt;dSkin,RdcPri_FB,(G36/dSkin)*RdcPri_FB)</f>
        <v>#NUM!</v>
      </c>
    </row>
    <row r="37" spans="1:56" x14ac:dyDescent="0.55000000000000004">
      <c r="A37" s="91" t="s">
        <v>186</v>
      </c>
      <c r="B37" s="98" t="e">
        <f>IF(NVout1_T_FB&lt;&gt;0,(a1_FB*Ku_FB*(Wa_FB/100))/NVout1_T_FB,0)</f>
        <v>#NUM!</v>
      </c>
      <c r="C37" s="92" t="s">
        <v>192</v>
      </c>
      <c r="D37" s="92" t="e">
        <f>IF(Aw1_FB&lt;&gt;0,IF(VLOOKUP(Aw1_FB,Trans_Core!X2:Z24,1,TRUE)&lt;Aw1_FB,VLOOKUP(Aw1_FB,Trans_Core!X2:Z24,2,TRUE)-1,VLOOKUP(Aw1_FB,Trans_Core!X2:Z24,1,TRUE)),0)</f>
        <v>#NUM!</v>
      </c>
      <c r="E37" s="292">
        <v>31</v>
      </c>
      <c r="F37" s="92" t="s">
        <v>193</v>
      </c>
      <c r="G37" s="98" t="e">
        <f>IF(Aw1_FB&lt;&gt;0,VLOOKUP(AWG1_FB,Trans_Core!AC2:AD26,2,TRUE),0)</f>
        <v>#NUM!</v>
      </c>
      <c r="H37" s="92" t="s">
        <v>192</v>
      </c>
      <c r="I37" s="92" t="s">
        <v>230</v>
      </c>
      <c r="J37" s="103" t="e">
        <f>IF(Aw1_FB&lt;&gt;0,pcu_100C*((MLT_FB/10)*NVout1_T_FB)/G37,0)</f>
        <v>#NUM!</v>
      </c>
      <c r="K37" s="100" t="s">
        <v>246</v>
      </c>
      <c r="L37" s="92" t="s">
        <v>240</v>
      </c>
      <c r="M37" s="93" t="e">
        <f>IF((G37/2)&lt;dSkin,Rdc1_FB,(G37/dSkin)*Rdc1_FB)</f>
        <v>#NUM!</v>
      </c>
    </row>
    <row r="38" spans="1:56" x14ac:dyDescent="0.55000000000000004">
      <c r="A38" s="91" t="s">
        <v>187</v>
      </c>
      <c r="B38" s="98">
        <f>IF(NVout2_T_FB&lt;&gt;0,(a2_FB*Ku_FB*(Wa_FB/100))/NVout2_T_FB,0)</f>
        <v>0</v>
      </c>
      <c r="C38" s="92" t="s">
        <v>192</v>
      </c>
      <c r="D38" s="92">
        <f>IF(Aw2_FB&lt;&gt;0,IF(VLOOKUP(Aw2_FB,Trans_Core!X2:Z24,1,TRUE)&lt;Aw2_FB,VLOOKUP(Aw2_FB,Trans_Core!X2:Z24,2,TRUE)-1,VLOOKUP(Aw2_FB,Trans_Core!X2:Z24,1,TRUE)),0)</f>
        <v>0</v>
      </c>
      <c r="E38" s="292">
        <v>31</v>
      </c>
      <c r="F38" s="92" t="s">
        <v>193</v>
      </c>
      <c r="G38" s="98">
        <f>IF(Aw2_FB&lt;&gt;0,VLOOKUP(AWG2_FB,Trans_Core!AC2:AD26,2,TRUE),0)</f>
        <v>0</v>
      </c>
      <c r="H38" s="92" t="s">
        <v>192</v>
      </c>
      <c r="I38" s="92" t="s">
        <v>231</v>
      </c>
      <c r="J38" s="103">
        <f>IF(Aw2_FB&lt;&gt;0,pcu_100C*((MLT_FB/10)*NVout2_T_FB)/G38,0)</f>
        <v>0</v>
      </c>
      <c r="K38" s="100" t="s">
        <v>246</v>
      </c>
      <c r="L38" s="92" t="s">
        <v>241</v>
      </c>
      <c r="M38" s="93">
        <f>IF((G38/2)&lt;dSkin,Rdc2_FB,(G38/dSkin)*Rdc2_FB)</f>
        <v>0</v>
      </c>
    </row>
    <row r="39" spans="1:56" x14ac:dyDescent="0.55000000000000004">
      <c r="A39" s="91" t="s">
        <v>188</v>
      </c>
      <c r="B39" s="98">
        <f>IF(NVout3_T_FB&lt;&gt;0,(a3_FB*Ku_FB*(Wa_FB/100))/NVout3_T_FB,0)</f>
        <v>0</v>
      </c>
      <c r="C39" s="92" t="s">
        <v>192</v>
      </c>
      <c r="D39" s="92">
        <f>IF(Aw3_FB&lt;&gt;0,IF(VLOOKUP(Aw3_FB,Trans_Core!X2:Z24,1,TRUE)&lt;Aw3_FB,VLOOKUP(Aw3_FB,Trans_Core!X2:Z24,2,TRUE)-1,VLOOKUP(Aw3_FB,Trans_Core!X2:Z24,1,TRUE)),0)</f>
        <v>0</v>
      </c>
      <c r="E39" s="292">
        <v>0</v>
      </c>
      <c r="F39" s="92" t="s">
        <v>193</v>
      </c>
      <c r="G39" s="92">
        <f>IF(Aw3_FB&lt;&gt;0,VLOOKUP(AWG3_FB,Trans_Core!AC2:AD26,2,TRUE),0)</f>
        <v>0</v>
      </c>
      <c r="H39" s="92" t="s">
        <v>192</v>
      </c>
      <c r="I39" s="92" t="s">
        <v>232</v>
      </c>
      <c r="J39" s="92">
        <f>IF(Aw3_FB&lt;&gt;0,pcu_100C*((MLT_FB/10)*NVout3_T_FB)/G39,0)</f>
        <v>0</v>
      </c>
      <c r="K39" s="100" t="s">
        <v>246</v>
      </c>
      <c r="L39" s="92" t="s">
        <v>242</v>
      </c>
      <c r="M39" s="93">
        <f>IF((G39/2)&lt;dSkin,Rdc3_FB,(G39/dSkin)*Rdc3_FB)</f>
        <v>0</v>
      </c>
    </row>
    <row r="40" spans="1:56" x14ac:dyDescent="0.55000000000000004">
      <c r="A40" s="91" t="s">
        <v>189</v>
      </c>
      <c r="B40" s="98">
        <f>IF(NVout4_T_FB&lt;&gt;0,(a4_FB*Ku_FB*(Wa_FB/100))/NVout4_T_FB,0)</f>
        <v>0</v>
      </c>
      <c r="C40" s="92" t="s">
        <v>192</v>
      </c>
      <c r="D40" s="92">
        <f>IF(Aw4_FB&lt;&gt;0,IF(VLOOKUP(Aw4_FB,Trans_Core!X2:Z24,1,TRUE)&lt;Aw4_FB,VLOOKUP(Aw4_FB,Trans_Core!X2:Z24,2,TRUE)-1,VLOOKUP(Aw4_FB,Trans_Core!X2:Z24,1,TRUE)),0)</f>
        <v>0</v>
      </c>
      <c r="E40" s="292">
        <v>0</v>
      </c>
      <c r="F40" s="92" t="s">
        <v>193</v>
      </c>
      <c r="G40" s="92">
        <f>IF(Aw4_FB&lt;&gt;0,VLOOKUP(AWG4_FB,Trans_Core!AC2:AD26,2,TRUE),0)</f>
        <v>0</v>
      </c>
      <c r="H40" s="92" t="s">
        <v>192</v>
      </c>
      <c r="I40" s="92" t="s">
        <v>233</v>
      </c>
      <c r="J40" s="92">
        <f>IF(Aw4_FB&lt;&gt;0,pcu_100C*((MLT_FB/10)*NVout4_T_FB)/G40,0)</f>
        <v>0</v>
      </c>
      <c r="K40" s="100" t="s">
        <v>246</v>
      </c>
      <c r="L40" s="92" t="s">
        <v>243</v>
      </c>
      <c r="M40" s="93">
        <f>IF((G40/2)&lt;dSkin,Rdc4_FB,(G40/dSkin)*Rdc4_FB)</f>
        <v>0</v>
      </c>
    </row>
    <row r="41" spans="1:56" x14ac:dyDescent="0.55000000000000004">
      <c r="A41" s="91" t="s">
        <v>190</v>
      </c>
      <c r="B41" s="98">
        <f>IF(NVout5_T_FB&lt;&gt;0,(a5_FB*Ku_FB*(Wa_FB/100))/NVout5_T_FB,0)</f>
        <v>0</v>
      </c>
      <c r="C41" s="92" t="s">
        <v>192</v>
      </c>
      <c r="D41" s="92">
        <f>IF(Aw5_FB&lt;&gt;0,IF(VLOOKUP(Aw5_FB,Trans_Core!X2:Z24,1,TRUE)&lt;Aw5_FB,VLOOKUP(Aw5_FB,Trans_Core!X2:Z24,2,TRUE)-1,VLOOKUP(Aw5_FB,Trans_Core!X2:Z24,1,TRUE)),0)</f>
        <v>0</v>
      </c>
      <c r="E41" s="292">
        <v>0</v>
      </c>
      <c r="F41" s="92" t="s">
        <v>193</v>
      </c>
      <c r="G41" s="92">
        <f>IF(Aw5_FB&lt;&gt;0,VLOOKUP(AWG5_FB,Trans_Core!AC2:AD26,2,TRUE),0)</f>
        <v>0</v>
      </c>
      <c r="H41" s="92" t="s">
        <v>192</v>
      </c>
      <c r="I41" s="92" t="s">
        <v>234</v>
      </c>
      <c r="J41" s="92">
        <f>IF(Aw5_FB&lt;&gt;0,pcu_100C*((MLT_FB/10)*NVout5_T_FB)/G41,0)</f>
        <v>0</v>
      </c>
      <c r="K41" s="100" t="s">
        <v>246</v>
      </c>
      <c r="L41" s="92" t="s">
        <v>244</v>
      </c>
      <c r="M41" s="93">
        <f>IF((G41/2)&lt;dSkin,Rdc5_FB,(G41/dSkin)*Rdc5_FB)</f>
        <v>0</v>
      </c>
    </row>
    <row r="42" spans="1:56" ht="14.7" thickBot="1" x14ac:dyDescent="0.6">
      <c r="A42" s="104" t="s">
        <v>191</v>
      </c>
      <c r="B42" s="136">
        <f>IF(NVout6_T_FB&lt;&gt;0,(a6_FB*Ku_FB*(Wa_FB/100))/NVout6_T_FB,0)</f>
        <v>0</v>
      </c>
      <c r="C42" s="106" t="s">
        <v>192</v>
      </c>
      <c r="D42" s="106">
        <f>IF(Aw6_FB&lt;&gt;0,IF(VLOOKUP(Aw6_FB,Trans_Core!X2:Z24,1,TRUE)&lt;Aw6_FB,VLOOKUP(Aw6_FB,Trans_Core!X2:Z24,2,TRUE)-1,VLOOKUP(Aw6_FB,Trans_Core!X2:Z24,1,TRUE)),0)</f>
        <v>0</v>
      </c>
      <c r="E42" s="293">
        <v>0</v>
      </c>
      <c r="F42" s="106" t="s">
        <v>193</v>
      </c>
      <c r="G42" s="106">
        <f>IF(Aw6_FB&lt;&gt;0,VLOOKUP(AWG6_FB,Trans_Core!AC2:AD26,2,TRUE),0)</f>
        <v>0</v>
      </c>
      <c r="H42" s="106" t="s">
        <v>192</v>
      </c>
      <c r="I42" s="106" t="s">
        <v>235</v>
      </c>
      <c r="J42" s="106">
        <f>IF(Aw6_FB&lt;&gt;0,pcu_100C*((MLT_FB/10)*NVout6_T_FB)/G42,0)</f>
        <v>0</v>
      </c>
      <c r="K42" s="107" t="s">
        <v>246</v>
      </c>
      <c r="L42" s="106" t="s">
        <v>245</v>
      </c>
      <c r="M42" s="108">
        <f>IF((G42/2)&lt;dSkin,Rdc6_FB,(G42/dSkin)*Rdc6_FB)</f>
        <v>0</v>
      </c>
    </row>
    <row r="43" spans="1:56" s="572" customFormat="1" ht="14.7" thickBot="1" x14ac:dyDescent="0.6">
      <c r="A43" s="571" t="s">
        <v>46</v>
      </c>
      <c r="B43" s="571"/>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571"/>
      <c r="AM43" s="571"/>
      <c r="AN43" s="571"/>
      <c r="AO43" s="571"/>
      <c r="AP43" s="571"/>
      <c r="AQ43" s="571"/>
      <c r="AR43" s="571"/>
      <c r="AS43" s="571"/>
      <c r="AT43" s="571"/>
      <c r="AU43" s="571"/>
      <c r="AV43" s="571"/>
      <c r="AW43" s="571"/>
      <c r="AX43" s="571"/>
      <c r="AY43" s="571"/>
      <c r="AZ43" s="571"/>
      <c r="BA43" s="571"/>
      <c r="BB43" s="571"/>
      <c r="BC43" s="571"/>
      <c r="BD43" s="571"/>
    </row>
    <row r="44" spans="1:56" s="572" customFormat="1" x14ac:dyDescent="0.55000000000000004">
      <c r="A44" s="571"/>
      <c r="B44" s="571"/>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1"/>
      <c r="AY44" s="571"/>
      <c r="AZ44" s="571"/>
      <c r="BA44" s="571"/>
      <c r="BB44" s="571"/>
      <c r="BC44" s="571"/>
      <c r="BD44" s="571"/>
    </row>
    <row r="45" spans="1:56" x14ac:dyDescent="0.55000000000000004">
      <c r="A45" s="91"/>
      <c r="B45" s="92"/>
      <c r="C45" s="92"/>
      <c r="D45" s="92"/>
      <c r="G45" s="92"/>
      <c r="H45" s="92"/>
      <c r="I45" s="92"/>
      <c r="J45" s="92"/>
      <c r="K45" s="92"/>
      <c r="L45" s="92"/>
      <c r="M45" s="93"/>
    </row>
    <row r="46" spans="1:56" x14ac:dyDescent="0.55000000000000004">
      <c r="A46" s="91" t="s">
        <v>22</v>
      </c>
      <c r="B46" s="12">
        <f>Pout_FBB</f>
        <v>7.5</v>
      </c>
      <c r="C46" s="92" t="s">
        <v>86</v>
      </c>
      <c r="D46" s="92"/>
      <c r="G46" s="92"/>
      <c r="H46" s="92"/>
      <c r="I46" s="92"/>
      <c r="J46" s="92"/>
      <c r="K46" s="92"/>
      <c r="L46" s="92"/>
      <c r="M46" s="93"/>
    </row>
    <row r="47" spans="1:56" x14ac:dyDescent="0.55000000000000004">
      <c r="A47" s="91" t="s">
        <v>141</v>
      </c>
      <c r="B47" s="289">
        <v>0.5</v>
      </c>
      <c r="C47" s="92"/>
      <c r="D47" s="92"/>
      <c r="E47" s="92" t="s">
        <v>263</v>
      </c>
      <c r="F47" s="92"/>
      <c r="G47" s="92"/>
      <c r="H47" s="92"/>
      <c r="I47" s="92"/>
      <c r="J47" s="92"/>
      <c r="K47" s="92"/>
      <c r="L47" s="92"/>
      <c r="M47" s="93"/>
    </row>
    <row r="48" spans="1:56" x14ac:dyDescent="0.55000000000000004">
      <c r="A48" s="91" t="s">
        <v>143</v>
      </c>
      <c r="B48" s="289">
        <v>1.5</v>
      </c>
      <c r="C48" s="92" t="s">
        <v>86</v>
      </c>
      <c r="D48" s="92"/>
      <c r="E48" s="92" t="e">
        <f>MATCH(Kg_FBB,Trans_Core!B2:B7,-1)</f>
        <v>#DIV/0!</v>
      </c>
      <c r="F48" s="92"/>
      <c r="H48" s="94"/>
      <c r="I48" s="94"/>
      <c r="J48" s="92"/>
      <c r="K48" s="92"/>
      <c r="L48" s="92"/>
      <c r="M48" s="93"/>
    </row>
    <row r="49" spans="1:13" x14ac:dyDescent="0.55000000000000004">
      <c r="A49" s="91" t="s">
        <v>82</v>
      </c>
      <c r="B49" s="289">
        <v>0.25</v>
      </c>
      <c r="C49" s="92" t="s">
        <v>149</v>
      </c>
      <c r="D49" s="92"/>
      <c r="H49" s="92"/>
      <c r="I49" s="92"/>
      <c r="J49" s="92"/>
      <c r="K49" s="92"/>
      <c r="L49" s="92"/>
      <c r="M49" s="93"/>
    </row>
    <row r="50" spans="1:13" x14ac:dyDescent="0.55000000000000004">
      <c r="A50" s="91" t="s">
        <v>144</v>
      </c>
      <c r="B50" s="39" t="e">
        <f>(pcu*(Lm_FlyBB^2)*(ILrms_Total_Max_FBB^2)*(ILpeak_Max_FBB^2)*(10^8))/((Bmax_FBB^2)*Pcu_Loss_FBB*Ku_FBB)</f>
        <v>#DIV/0!</v>
      </c>
      <c r="C50" s="92" t="s">
        <v>150</v>
      </c>
      <c r="D50" s="92"/>
      <c r="H50" s="92"/>
      <c r="I50" s="92"/>
      <c r="J50" s="92"/>
      <c r="K50" s="92"/>
      <c r="L50" s="92"/>
      <c r="M50" s="93"/>
    </row>
    <row r="51" spans="1:13" x14ac:dyDescent="0.55000000000000004">
      <c r="D51" s="92"/>
      <c r="H51" s="92"/>
      <c r="I51" s="92"/>
      <c r="J51" s="92"/>
      <c r="K51" s="92"/>
      <c r="L51" s="92"/>
      <c r="M51" s="93"/>
    </row>
    <row r="52" spans="1:13" x14ac:dyDescent="0.55000000000000004">
      <c r="A52" s="525" t="s">
        <v>931</v>
      </c>
      <c r="B52" s="525"/>
      <c r="C52" s="525"/>
      <c r="D52" s="525"/>
      <c r="E52" s="525"/>
      <c r="F52" s="525"/>
      <c r="G52" s="525"/>
      <c r="H52" s="525"/>
      <c r="I52" s="525"/>
      <c r="J52" s="525"/>
      <c r="K52" s="525"/>
      <c r="L52" s="525"/>
      <c r="M52" s="574"/>
    </row>
    <row r="53" spans="1:13" x14ac:dyDescent="0.55000000000000004">
      <c r="A53" s="523" t="s">
        <v>157</v>
      </c>
      <c r="B53" s="523"/>
      <c r="C53" s="523"/>
      <c r="D53" s="92"/>
      <c r="E53" s="525" t="s">
        <v>926</v>
      </c>
      <c r="F53" s="525"/>
      <c r="G53" s="525"/>
      <c r="H53" s="92"/>
      <c r="I53" s="92"/>
      <c r="J53" s="92"/>
      <c r="K53" s="92"/>
      <c r="L53" s="92"/>
      <c r="M53" s="93"/>
    </row>
    <row r="54" spans="1:13" x14ac:dyDescent="0.55000000000000004">
      <c r="A54" s="92" t="s">
        <v>106</v>
      </c>
      <c r="B54" s="111" t="e">
        <f>VLOOKUP(T_Index_FB,Trans_Core!A2:H7,3,FALSE)</f>
        <v>#NUM!</v>
      </c>
      <c r="C54" s="92"/>
      <c r="D54" s="92"/>
      <c r="H54" s="92"/>
      <c r="L54" s="92"/>
      <c r="M54" s="93"/>
    </row>
    <row r="55" spans="1:13" x14ac:dyDescent="0.55000000000000004">
      <c r="A55" s="92" t="s">
        <v>79</v>
      </c>
      <c r="B55" s="111" t="e">
        <f>VLOOKUP(T_Index_FBB,Trans_Core!A2:H7,6,FALSE)</f>
        <v>#DIV/0!</v>
      </c>
      <c r="C55" s="92" t="s">
        <v>85</v>
      </c>
      <c r="D55" s="92"/>
      <c r="E55" s="92" t="s">
        <v>79</v>
      </c>
      <c r="F55" s="295">
        <v>29.7</v>
      </c>
      <c r="G55" s="92" t="s">
        <v>85</v>
      </c>
      <c r="H55" s="92"/>
      <c r="L55" s="92"/>
      <c r="M55" s="93"/>
    </row>
    <row r="56" spans="1:13" x14ac:dyDescent="0.55000000000000004">
      <c r="A56" s="92" t="s">
        <v>80</v>
      </c>
      <c r="B56" s="96" t="e">
        <f>VLOOKUP(T_Index_FBB,Trans_Core!A2:H7,5,FALSE)</f>
        <v>#DIV/0!</v>
      </c>
      <c r="C56" s="92" t="s">
        <v>84</v>
      </c>
      <c r="D56" s="92"/>
      <c r="E56" s="92" t="s">
        <v>80</v>
      </c>
      <c r="F56" s="295">
        <v>12.4</v>
      </c>
      <c r="G56" s="92" t="s">
        <v>84</v>
      </c>
      <c r="H56" s="92"/>
      <c r="L56" s="92"/>
      <c r="M56" s="93"/>
    </row>
    <row r="57" spans="1:13" x14ac:dyDescent="0.55000000000000004">
      <c r="A57" s="92" t="s">
        <v>81</v>
      </c>
      <c r="B57" s="111" t="e">
        <f>VLOOKUP(T_Index_FBB,Trans_Core!A2:H7,4,FALSE)</f>
        <v>#DIV/0!</v>
      </c>
      <c r="C57" s="92" t="s">
        <v>83</v>
      </c>
      <c r="D57" s="92"/>
      <c r="E57" s="92" t="s">
        <v>81</v>
      </c>
      <c r="F57" s="295">
        <v>369</v>
      </c>
      <c r="G57" s="92" t="s">
        <v>83</v>
      </c>
      <c r="H57" s="92"/>
      <c r="L57" s="92"/>
      <c r="M57" s="93"/>
    </row>
    <row r="58" spans="1:13" x14ac:dyDescent="0.55000000000000004">
      <c r="A58" s="92" t="s">
        <v>168</v>
      </c>
      <c r="B58" s="111" t="e">
        <f>VLOOKUP(T_Index_FBB,Trans_Core!A2:H7,7,FALSE)</f>
        <v>#DIV/0!</v>
      </c>
      <c r="C58" s="92" t="s">
        <v>84</v>
      </c>
      <c r="D58" s="92"/>
      <c r="E58" s="92" t="s">
        <v>168</v>
      </c>
      <c r="F58" s="295">
        <v>10.4</v>
      </c>
      <c r="G58" s="92" t="s">
        <v>84</v>
      </c>
      <c r="H58" s="92"/>
      <c r="L58" s="92"/>
      <c r="M58" s="93"/>
    </row>
    <row r="59" spans="1:13" x14ac:dyDescent="0.55000000000000004">
      <c r="A59" s="92" t="s">
        <v>226</v>
      </c>
      <c r="B59" s="111" t="e">
        <f>VLOOKUP(T_Index_FBB,Trans_Core!A2:H7,8,FALSE)</f>
        <v>#DIV/0!</v>
      </c>
      <c r="C59" s="92" t="s">
        <v>85</v>
      </c>
      <c r="D59" s="92"/>
      <c r="E59" s="92" t="s">
        <v>226</v>
      </c>
      <c r="F59" s="295">
        <v>29.6</v>
      </c>
      <c r="G59" s="92" t="s">
        <v>85</v>
      </c>
      <c r="H59" s="92"/>
      <c r="L59" s="92"/>
      <c r="M59" s="93"/>
    </row>
    <row r="60" spans="1:13" x14ac:dyDescent="0.55000000000000004">
      <c r="D60" s="92"/>
      <c r="E60" s="92" t="s">
        <v>166</v>
      </c>
      <c r="F60" s="103">
        <f>((PermAir*Lm_FlyBB*(ILpeak_Max_FBB^2))/((Bmax_FBB^2)*(Ae_FBB/100)))*(10^4)*1000</f>
        <v>0.78594968284508304</v>
      </c>
      <c r="G60" s="92" t="s">
        <v>85</v>
      </c>
      <c r="H60" s="92"/>
      <c r="I60" s="92"/>
      <c r="J60" s="92"/>
      <c r="K60" s="92"/>
      <c r="L60" s="92"/>
      <c r="M60" s="93"/>
    </row>
    <row r="61" spans="1:13" x14ac:dyDescent="0.55000000000000004">
      <c r="A61" s="525" t="s">
        <v>932</v>
      </c>
      <c r="B61" s="525"/>
      <c r="C61" s="525"/>
      <c r="D61" s="525"/>
      <c r="E61" s="525"/>
      <c r="F61" s="525"/>
      <c r="G61" s="525"/>
      <c r="H61" s="525"/>
      <c r="I61" s="525"/>
      <c r="J61" s="525"/>
      <c r="K61" s="525"/>
      <c r="L61" s="525"/>
      <c r="M61" s="574"/>
    </row>
    <row r="62" spans="1:13" x14ac:dyDescent="0.55000000000000004">
      <c r="A62" s="99" t="s">
        <v>184</v>
      </c>
      <c r="B62" s="111"/>
      <c r="C62" s="92"/>
      <c r="J62" s="92"/>
      <c r="K62" s="92"/>
      <c r="L62" s="92"/>
      <c r="M62" s="93"/>
    </row>
    <row r="63" spans="1:13" x14ac:dyDescent="0.55000000000000004">
      <c r="A63" s="91" t="s">
        <v>167</v>
      </c>
      <c r="B63" s="12">
        <f>CEILING(((Lm_FlyBB*ILpeak_Max_FBB)/(Bmax_FBB*(Ae_FBB/100)))*(10^4),1)</f>
        <v>87</v>
      </c>
      <c r="C63" s="92"/>
      <c r="D63" s="92"/>
      <c r="E63" s="111" t="s">
        <v>183</v>
      </c>
      <c r="F63" s="92"/>
      <c r="G63" s="523" t="s">
        <v>927</v>
      </c>
      <c r="H63" s="523"/>
      <c r="I63" s="523"/>
      <c r="J63" s="92"/>
      <c r="K63" s="92"/>
      <c r="L63" s="92"/>
      <c r="M63" s="93"/>
    </row>
    <row r="64" spans="1:13" x14ac:dyDescent="0.55000000000000004">
      <c r="A64" s="91" t="s">
        <v>98</v>
      </c>
      <c r="B64" s="7">
        <v>32</v>
      </c>
      <c r="C64" s="92"/>
      <c r="D64" s="100" t="s">
        <v>182</v>
      </c>
      <c r="E64" s="101" t="e">
        <f>(Np_T_FBB*ILrms_Ipri_FBB)/(Np_T_FBB*ILrms_Total_Max_FBB)</f>
        <v>#DIV/0!</v>
      </c>
      <c r="F64" s="92"/>
      <c r="G64" s="91" t="s">
        <v>185</v>
      </c>
      <c r="H64" s="98" t="e">
        <f>(aPri_FBB*Ku_FBB*(Wa_FBB/100))/Np_T_FBB</f>
        <v>#DIV/0!</v>
      </c>
      <c r="I64" s="92" t="s">
        <v>192</v>
      </c>
      <c r="J64" s="92"/>
      <c r="K64" s="92"/>
      <c r="L64" s="92"/>
      <c r="M64" s="93"/>
    </row>
    <row r="65" spans="1:56" x14ac:dyDescent="0.55000000000000004">
      <c r="A65" s="91" t="s">
        <v>99</v>
      </c>
      <c r="B65" s="12">
        <f>ROUND((Ns1_FlyBB/Np)*Np_T_FBB,0)</f>
        <v>32</v>
      </c>
      <c r="C65" s="92"/>
      <c r="D65" s="100" t="s">
        <v>176</v>
      </c>
      <c r="E65" s="101" t="e">
        <f>(NVout1_T_FBB*ILrms_VOUT1_FBB)/(Np_T_FBB*ILrms_Total_Max_FBB)</f>
        <v>#DIV/0!</v>
      </c>
      <c r="F65" s="92"/>
      <c r="G65" s="91" t="s">
        <v>186</v>
      </c>
      <c r="H65" s="98" t="e">
        <f>IF(NVout1_T_FBB&lt;&gt;0,(a1_FBB*Ku_FBB*(Wa_FBB/100))/NVout1_T_FBB,0)</f>
        <v>#DIV/0!</v>
      </c>
      <c r="I65" s="92" t="s">
        <v>192</v>
      </c>
      <c r="J65" s="92"/>
      <c r="K65" s="92"/>
      <c r="L65" s="92"/>
      <c r="M65" s="93"/>
    </row>
    <row r="66" spans="1:56" x14ac:dyDescent="0.55000000000000004">
      <c r="A66" s="91" t="s">
        <v>100</v>
      </c>
      <c r="B66" s="12">
        <f>ROUND((Ns2_FlyBB/Np)*Np_T_FBB,0)</f>
        <v>0</v>
      </c>
      <c r="C66" s="92"/>
      <c r="D66" s="100" t="s">
        <v>177</v>
      </c>
      <c r="E66" s="101" t="e">
        <f>(NVout2_T_FBB*ILrms_VOUT2_FBB)/(Np_T_FBB*ILrms_Total_Max_FBB)</f>
        <v>#DIV/0!</v>
      </c>
      <c r="F66" s="92"/>
      <c r="G66" s="91" t="s">
        <v>187</v>
      </c>
      <c r="H66" s="98">
        <f>IF(NVout2_T_FBB&lt;&gt;0,(a2_FBB*Ku_FBB*(Wa_FBB/100))/NVout2_T_FBB,0)</f>
        <v>0</v>
      </c>
      <c r="I66" s="92" t="s">
        <v>192</v>
      </c>
      <c r="J66" s="92"/>
      <c r="K66" s="92"/>
      <c r="L66" s="92"/>
      <c r="M66" s="93"/>
    </row>
    <row r="67" spans="1:56" x14ac:dyDescent="0.55000000000000004">
      <c r="A67" s="91" t="s">
        <v>101</v>
      </c>
      <c r="B67" s="12">
        <f>ROUND((Ns3_FlyBB/Np)*Np_T_FBB,0)</f>
        <v>0</v>
      </c>
      <c r="C67" s="92"/>
      <c r="D67" s="100" t="s">
        <v>178</v>
      </c>
      <c r="E67" s="101" t="e">
        <f>(NVout3_T_FBB*ILrms_VOUT3_FBB)/(Np_T_FBB*ILrms_Total_Max_FBB)</f>
        <v>#DIV/0!</v>
      </c>
      <c r="F67" s="92"/>
      <c r="G67" s="91" t="s">
        <v>188</v>
      </c>
      <c r="H67" s="98">
        <f>IF(NVout3_T_FBB&lt;&gt;0,(a3_FBB*Ku_FBB*(Wa_FBB/100))/NVout3_T_FBB,0)</f>
        <v>0</v>
      </c>
      <c r="I67" s="92" t="s">
        <v>192</v>
      </c>
      <c r="J67" s="92"/>
      <c r="K67" s="92"/>
      <c r="L67" s="92"/>
      <c r="M67" s="93"/>
    </row>
    <row r="68" spans="1:56" x14ac:dyDescent="0.55000000000000004">
      <c r="A68" s="91" t="s">
        <v>102</v>
      </c>
      <c r="B68" s="12">
        <f>ROUND((Ns4_FlyBB/Np)*Np_T_FBB,0)</f>
        <v>0</v>
      </c>
      <c r="C68" s="92"/>
      <c r="D68" s="100" t="s">
        <v>179</v>
      </c>
      <c r="E68" s="101" t="e">
        <f>(NVout4_T_FBB*ILrms_VOUT4_FBB)/(Np_T_FBB*ILrms_Total_Max_FBB)</f>
        <v>#DIV/0!</v>
      </c>
      <c r="F68" s="92"/>
      <c r="G68" s="91" t="s">
        <v>189</v>
      </c>
      <c r="H68" s="98">
        <f>IF(NVout4_T_FBB&lt;&gt;0,(a4_FBB*Ku_FBB*(Wa_FBB/100))/NVout4_T_FBB,0)</f>
        <v>0</v>
      </c>
      <c r="I68" s="92" t="s">
        <v>192</v>
      </c>
      <c r="J68" s="92"/>
      <c r="K68" s="92"/>
      <c r="L68" s="92"/>
      <c r="M68" s="93"/>
    </row>
    <row r="69" spans="1:56" x14ac:dyDescent="0.55000000000000004">
      <c r="A69" s="91" t="s">
        <v>103</v>
      </c>
      <c r="B69" s="12">
        <f>ROUND((Ns5_FlyBB/Np)*Np_T_FBB,0)</f>
        <v>0</v>
      </c>
      <c r="C69" s="92"/>
      <c r="D69" s="100" t="s">
        <v>180</v>
      </c>
      <c r="E69" s="101" t="e">
        <f>(NVout5_T_FBB*ILrms_VOUT5_FBB)/(Np_T_FBB*ILrms_Total_Max_FBB)</f>
        <v>#DIV/0!</v>
      </c>
      <c r="F69" s="92"/>
      <c r="G69" s="91" t="s">
        <v>190</v>
      </c>
      <c r="H69" s="98">
        <f>IF(NVout5_T_FBB&lt;&gt;0,(a5_FBB*Ku_FBB*(Wa_FBB/100))/NVout5_T_FBB,0)</f>
        <v>0</v>
      </c>
      <c r="I69" s="92" t="s">
        <v>192</v>
      </c>
      <c r="J69" s="92"/>
      <c r="K69" s="92"/>
      <c r="L69" s="92"/>
      <c r="M69" s="93"/>
    </row>
    <row r="70" spans="1:56" ht="14.7" thickBot="1" x14ac:dyDescent="0.6">
      <c r="A70" s="91" t="s">
        <v>104</v>
      </c>
      <c r="B70" s="12">
        <f>ROUND((Ns6_FlyBB/Np)*Np_T_FBB,0)</f>
        <v>0</v>
      </c>
      <c r="C70" s="92"/>
      <c r="D70" s="100" t="s">
        <v>181</v>
      </c>
      <c r="E70" s="101" t="e">
        <f>(NVout6_T_FBB*ILrms_VOUT6_FBB)/(Np_T_FBB*ILrms_Total_Max_FBB)</f>
        <v>#DIV/0!</v>
      </c>
      <c r="F70" s="92"/>
      <c r="G70" s="104" t="s">
        <v>191</v>
      </c>
      <c r="H70" s="136">
        <f>IF(NVout6_T_FBB&lt;&gt;0,(a6_FBB*Ku_FBB*(Wa_FBB/100))/NVout6_T_FBB,0)</f>
        <v>0</v>
      </c>
      <c r="I70" s="106" t="s">
        <v>192</v>
      </c>
      <c r="J70" s="92"/>
      <c r="K70" s="92"/>
      <c r="L70" s="92"/>
      <c r="M70" s="93"/>
    </row>
    <row r="71" spans="1:56" x14ac:dyDescent="0.55000000000000004">
      <c r="A71" s="573" t="s">
        <v>928</v>
      </c>
      <c r="B71" s="573"/>
      <c r="C71" s="92"/>
      <c r="D71" s="92" t="s">
        <v>24</v>
      </c>
      <c r="F71" s="92"/>
      <c r="G71" s="92" t="s">
        <v>275</v>
      </c>
      <c r="H71" s="92"/>
      <c r="I71" s="523" t="s">
        <v>929</v>
      </c>
      <c r="J71" s="523"/>
      <c r="K71" s="523"/>
      <c r="L71" s="523" t="s">
        <v>930</v>
      </c>
      <c r="M71" s="523"/>
      <c r="N71" s="523"/>
    </row>
    <row r="72" spans="1:56" x14ac:dyDescent="0.55000000000000004">
      <c r="B72" s="92" t="e">
        <f>IF(AwPri_FBB&lt;&gt;0,IF(VLOOKUP(AwPri_FBB,Trans_Core!X2:Z24,1,TRUE)&lt;AwPri_FBB,VLOOKUP(AwPri_FBB,Trans_Core!X2:Z24,2,TRUE)-1,VLOOKUP(AwPri_FBB,Trans_Core!X2:Z24,1,TRUE)),0)</f>
        <v>#DIV/0!</v>
      </c>
      <c r="C72" t="s">
        <v>193</v>
      </c>
      <c r="D72" s="92">
        <v>29</v>
      </c>
      <c r="E72" s="92" t="s">
        <v>193</v>
      </c>
      <c r="G72" s="98" t="e">
        <f>IF(AwPri_FBB&lt;&gt;0,VLOOKUP(AWG_FBB,Trans_Core!AC2:AD26,2,TRUE),0)</f>
        <v>#DIV/0!</v>
      </c>
      <c r="H72" s="92" t="s">
        <v>192</v>
      </c>
      <c r="I72" s="92" t="s">
        <v>229</v>
      </c>
      <c r="J72" s="103" t="e">
        <f>IF(AwPri_FBB&lt;&gt;0,pcu_100C*((MLT_FBB/10)*Np_T_FBB)/G72,0)</f>
        <v>#DIV/0!</v>
      </c>
      <c r="K72" s="100" t="s">
        <v>246</v>
      </c>
      <c r="L72" s="92" t="s">
        <v>239</v>
      </c>
      <c r="M72" s="93" t="e">
        <f>IF((G72/2)&lt;dSkin,RdcPri_FBB,(G72/dSkin)*RdcPri_FBB)</f>
        <v>#DIV/0!</v>
      </c>
      <c r="N72" s="100" t="s">
        <v>246</v>
      </c>
    </row>
    <row r="73" spans="1:56" x14ac:dyDescent="0.55000000000000004">
      <c r="B73" s="92" t="e">
        <f>IF(Aw1_FBB&lt;&gt;0,IF(VLOOKUP(Aw1_FBB,Trans_Core!X2:Z24,1,TRUE)&lt;Aw1_FBB,VLOOKUP(Aw1_FBB,Trans_Core!X2:Z24,2,TRUE)-1,VLOOKUP(Aw1_FBB,Trans_Core!X2:Z24,1,TRUE)),0)</f>
        <v>#DIV/0!</v>
      </c>
      <c r="C73" t="s">
        <v>193</v>
      </c>
      <c r="D73" s="92">
        <v>31</v>
      </c>
      <c r="E73" s="92" t="s">
        <v>193</v>
      </c>
      <c r="G73" s="98" t="e">
        <f>IF(Aw1_FBB&lt;&gt;0,VLOOKUP(AWG1_FBB,Trans_Core!AC2:AD26,2,TRUE),0)</f>
        <v>#DIV/0!</v>
      </c>
      <c r="H73" s="92" t="s">
        <v>192</v>
      </c>
      <c r="I73" s="92" t="s">
        <v>230</v>
      </c>
      <c r="J73" s="103" t="e">
        <f>IF(Aw1_FBB&lt;&gt;0,pcu_100C*((MLT_FBB/10)*NVout1_T_FBB)/G73,0)</f>
        <v>#DIV/0!</v>
      </c>
      <c r="K73" s="100" t="s">
        <v>246</v>
      </c>
      <c r="L73" s="92" t="s">
        <v>240</v>
      </c>
      <c r="M73" s="93" t="e">
        <f>IF((G73/2)&lt;dSkin,Rdc1_FBB,(G73/dSkin)*Rdc1_FBB)</f>
        <v>#DIV/0!</v>
      </c>
      <c r="N73" s="100" t="s">
        <v>246</v>
      </c>
    </row>
    <row r="74" spans="1:56" x14ac:dyDescent="0.55000000000000004">
      <c r="B74" s="92">
        <f>IF(Aw2_FBB&lt;&gt;0,IF(VLOOKUP(Aw2_FBB,Trans_Core!X2:Z24,1,TRUE)&lt;Aw2_FBB,VLOOKUP(Aw2_FBB,Trans_Core!X2:Z24,2,TRUE)-1,VLOOKUP(Aw2_FBB,Trans_Core!X2:Z24,1,TRUE)),0)</f>
        <v>0</v>
      </c>
      <c r="C74" t="s">
        <v>193</v>
      </c>
      <c r="D74" s="92">
        <v>31</v>
      </c>
      <c r="E74" s="92" t="s">
        <v>193</v>
      </c>
      <c r="G74" s="98">
        <f>IF(Aw2_FBB&lt;&gt;0,VLOOKUP(AWG2_FBB,Trans_Core!AC2:AD26,2,TRUE),0)</f>
        <v>0</v>
      </c>
      <c r="H74" s="92" t="s">
        <v>192</v>
      </c>
      <c r="I74" s="92" t="s">
        <v>231</v>
      </c>
      <c r="J74" s="103">
        <f>IF(Aw2_FBB&lt;&gt;0,pcu_100C*((MLT_FBB/10)*NVout2_T_FBB)/G74,0)</f>
        <v>0</v>
      </c>
      <c r="K74" s="100" t="s">
        <v>246</v>
      </c>
      <c r="L74" s="92" t="s">
        <v>241</v>
      </c>
      <c r="M74" s="93">
        <f>IF((G74/2)&lt;dSkin,Rdc2_FBB,(G74/dSkin)*Rdc2_FBB)</f>
        <v>0</v>
      </c>
      <c r="N74" s="100" t="s">
        <v>246</v>
      </c>
    </row>
    <row r="75" spans="1:56" x14ac:dyDescent="0.55000000000000004">
      <c r="B75" s="92">
        <f>IF(Aw3_FBB&lt;&gt;0,IF(VLOOKUP(Aw3_FBB,Trans_Core!X2:Z24,1,TRUE)&lt;Aw3_FBB,VLOOKUP(Aw3_FBB,Trans_Core!X2:Z24,2,TRUE)-1,VLOOKUP(Aw3_FBB,Trans_Core!X2:Z24,1,TRUE)),0)</f>
        <v>0</v>
      </c>
      <c r="C75" t="s">
        <v>193</v>
      </c>
      <c r="D75" s="92">
        <v>0</v>
      </c>
      <c r="E75" s="92" t="s">
        <v>193</v>
      </c>
      <c r="G75" s="92">
        <f>IF(Aw3_FBB&lt;&gt;0,VLOOKUP(AWG3_FBB,Trans_Core!AC2:AD26,2,TRUE),0)</f>
        <v>0</v>
      </c>
      <c r="H75" s="92" t="s">
        <v>192</v>
      </c>
      <c r="I75" s="92" t="s">
        <v>232</v>
      </c>
      <c r="J75" s="92">
        <f>IF(Aw3_FBB&lt;&gt;0,pcu_100C*((MLT_FBB/10)*NVout3_T_FBB)/G75,0)</f>
        <v>0</v>
      </c>
      <c r="K75" s="100" t="s">
        <v>246</v>
      </c>
      <c r="L75" s="92" t="s">
        <v>242</v>
      </c>
      <c r="M75" s="93">
        <f>IF((G75/2)&lt;dSkin,Rdc3_FBB,(G75/dSkin)*Rdc3_FBB)</f>
        <v>0</v>
      </c>
      <c r="N75" s="100" t="s">
        <v>246</v>
      </c>
    </row>
    <row r="76" spans="1:56" x14ac:dyDescent="0.55000000000000004">
      <c r="B76" s="92">
        <f>IF(Aw4_FBB&lt;&gt;0,IF(VLOOKUP(Aw4_FBB,Trans_Core!X2:Z24,1,TRUE)&lt;Aw4_FBB,VLOOKUP(Aw4_FBB,Trans_Core!X2:Z24,2,TRUE)-1,VLOOKUP(Aw4_FBB,Trans_Core!X2:Z24,1,TRUE)),0)</f>
        <v>0</v>
      </c>
      <c r="C76" t="s">
        <v>193</v>
      </c>
      <c r="D76" s="92">
        <v>0</v>
      </c>
      <c r="E76" s="92" t="s">
        <v>193</v>
      </c>
      <c r="G76" s="92">
        <f>IF(Aw4_FBB&lt;&gt;0,VLOOKUP(AWG4_FBB,Trans_Core!AC2:AD26,2,TRUE),0)</f>
        <v>0</v>
      </c>
      <c r="H76" s="92" t="s">
        <v>192</v>
      </c>
      <c r="I76" s="92" t="s">
        <v>233</v>
      </c>
      <c r="J76" s="92">
        <f>IF(Aw4_FBB&lt;&gt;0,pcu_100C*((MLT_FBB/10)*NVout4_T_FBB)/G76,0)</f>
        <v>0</v>
      </c>
      <c r="K76" s="100" t="s">
        <v>246</v>
      </c>
      <c r="L76" s="92" t="s">
        <v>243</v>
      </c>
      <c r="M76" s="93">
        <f>IF((G76/2)&lt;dSkin,Rdc4_FBB,(G76/dSkin)*Rdc4_FBB)</f>
        <v>0</v>
      </c>
      <c r="N76" s="100" t="s">
        <v>246</v>
      </c>
    </row>
    <row r="77" spans="1:56" x14ac:dyDescent="0.55000000000000004">
      <c r="B77" s="92">
        <f>IF(Aw5_FBB&lt;&gt;0,IF(VLOOKUP(Aw5_FBB,Trans_Core!X2:Z24,1,TRUE)&lt;Aw5_FBB,VLOOKUP(Aw5_FBB,Trans_Core!X2:Z24,2,TRUE)-1,VLOOKUP(Aw5_FBB,Trans_Core!X2:Z24,1,TRUE)),0)</f>
        <v>0</v>
      </c>
      <c r="C77" t="s">
        <v>193</v>
      </c>
      <c r="D77" s="92">
        <v>0</v>
      </c>
      <c r="E77" s="92" t="s">
        <v>193</v>
      </c>
      <c r="G77" s="92">
        <f>IF(Aw5_FBB&lt;&gt;0,VLOOKUP(AWG5_FBB,Trans_Core!AC2:AD26,2,TRUE),0)</f>
        <v>0</v>
      </c>
      <c r="H77" s="92" t="s">
        <v>192</v>
      </c>
      <c r="I77" s="92" t="s">
        <v>234</v>
      </c>
      <c r="J77" s="92">
        <f>IF(Aw5_FBB&lt;&gt;0,pcu_100C*((MLT_FBB/10)*NVout5_T_FBB)/G77,0)</f>
        <v>0</v>
      </c>
      <c r="K77" s="100" t="s">
        <v>246</v>
      </c>
      <c r="L77" s="92" t="s">
        <v>244</v>
      </c>
      <c r="M77" s="93">
        <f>IF((G77/2)&lt;dSkin,Rdc5_FBB,(G77/dSkin)*Rdc5_FBB)</f>
        <v>0</v>
      </c>
      <c r="N77" s="100" t="s">
        <v>246</v>
      </c>
    </row>
    <row r="78" spans="1:56" ht="14.7" thickBot="1" x14ac:dyDescent="0.6">
      <c r="B78" s="106">
        <f>IF(Aw6_FBB&lt;&gt;0,IF(VLOOKUP(Aw6_FBB,Trans_Core!X2:Z24,1,TRUE)&lt;Aw6_FBB,VLOOKUP(Aw6_FBB,Trans_Core!X2:Z24,2,TRUE)-1,VLOOKUP(Aw6_FBB,Trans_Core!X2:Z24,1,TRUE)),0)</f>
        <v>0</v>
      </c>
      <c r="C78" t="s">
        <v>193</v>
      </c>
      <c r="D78" s="106">
        <v>0</v>
      </c>
      <c r="E78" s="106" t="s">
        <v>193</v>
      </c>
      <c r="G78" s="106">
        <f>IF(Aw6_FBB&lt;&gt;0,VLOOKUP(AWG6_FBB,Trans_Core!AC2:AD26,2,TRUE),0)</f>
        <v>0</v>
      </c>
      <c r="H78" s="106" t="s">
        <v>192</v>
      </c>
      <c r="I78" s="106" t="s">
        <v>235</v>
      </c>
      <c r="J78" s="106">
        <f>IF(Aw6_FBB&lt;&gt;0,pcu_100C*((MLT_FBB/10)*NVout6_T_FBB)/G78,0)</f>
        <v>0</v>
      </c>
      <c r="K78" s="107" t="s">
        <v>246</v>
      </c>
      <c r="L78" s="106" t="s">
        <v>245</v>
      </c>
      <c r="M78" s="108">
        <f>IF((G78/2)&lt;dSkin,Rdc6_FBB,(G78/dSkin)*Rdc6_FBB)</f>
        <v>0</v>
      </c>
      <c r="N78" s="107" t="s">
        <v>246</v>
      </c>
    </row>
    <row r="79" spans="1:56" s="572" customFormat="1" ht="14.7" thickBot="1" x14ac:dyDescent="0.6">
      <c r="A79" s="571" t="s">
        <v>273</v>
      </c>
      <c r="B79" s="571"/>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71"/>
      <c r="AL79" s="571"/>
      <c r="AM79" s="571"/>
      <c r="AN79" s="571"/>
      <c r="AO79" s="571"/>
      <c r="AP79" s="571"/>
      <c r="AQ79" s="571"/>
      <c r="AR79" s="571"/>
      <c r="AS79" s="571"/>
      <c r="AT79" s="571"/>
      <c r="AU79" s="571"/>
      <c r="AV79" s="571"/>
      <c r="AW79" s="571"/>
      <c r="AX79" s="571"/>
      <c r="AY79" s="571"/>
      <c r="AZ79" s="571"/>
      <c r="BA79" s="571"/>
      <c r="BB79" s="571"/>
      <c r="BC79" s="571"/>
      <c r="BD79" s="571"/>
    </row>
    <row r="80" spans="1:56" s="572" customFormat="1" x14ac:dyDescent="0.55000000000000004">
      <c r="A80" s="571"/>
      <c r="B80" s="571"/>
      <c r="C80" s="571"/>
      <c r="D80" s="571"/>
      <c r="E80" s="571"/>
      <c r="F80" s="571"/>
      <c r="G80" s="571"/>
      <c r="H80" s="571"/>
      <c r="I80" s="571"/>
      <c r="J80" s="571"/>
      <c r="K80" s="571"/>
      <c r="L80" s="571"/>
      <c r="M80" s="571"/>
      <c r="N80" s="571"/>
      <c r="O80" s="571"/>
      <c r="P80" s="571"/>
      <c r="Q80" s="571"/>
      <c r="R80" s="571"/>
      <c r="S80" s="571"/>
      <c r="T80" s="571"/>
      <c r="U80" s="571"/>
      <c r="V80" s="571"/>
      <c r="W80" s="571"/>
      <c r="X80" s="571"/>
      <c r="Y80" s="571"/>
      <c r="Z80" s="571"/>
      <c r="AA80" s="571"/>
      <c r="AB80" s="571"/>
      <c r="AC80" s="571"/>
      <c r="AD80" s="571"/>
      <c r="AE80" s="571"/>
      <c r="AF80" s="571"/>
      <c r="AG80" s="571"/>
      <c r="AH80" s="571"/>
      <c r="AI80" s="571"/>
      <c r="AJ80" s="571"/>
      <c r="AK80" s="571"/>
      <c r="AL80" s="571"/>
      <c r="AM80" s="571"/>
      <c r="AN80" s="571"/>
      <c r="AO80" s="571"/>
      <c r="AP80" s="571"/>
      <c r="AQ80" s="571"/>
      <c r="AR80" s="571"/>
      <c r="AS80" s="571"/>
      <c r="AT80" s="571"/>
      <c r="AU80" s="571"/>
      <c r="AV80" s="571"/>
      <c r="AW80" s="571"/>
      <c r="AX80" s="571"/>
      <c r="AY80" s="571"/>
      <c r="AZ80" s="571"/>
      <c r="BA80" s="571"/>
      <c r="BB80" s="571"/>
      <c r="BC80" s="571"/>
      <c r="BD80" s="571"/>
    </row>
    <row r="81" spans="1:13" x14ac:dyDescent="0.55000000000000004">
      <c r="A81" s="91" t="s">
        <v>247</v>
      </c>
      <c r="B81" s="92">
        <f>SQRT(pcu_100C/(PI()*PermAir*Fsw))</f>
        <v>1.3935527808966574E-3</v>
      </c>
      <c r="C81" s="92" t="s">
        <v>248</v>
      </c>
      <c r="D81" s="92"/>
      <c r="E81" s="92" t="s">
        <v>263</v>
      </c>
      <c r="F81" s="92"/>
      <c r="G81" s="92"/>
      <c r="H81" s="92"/>
      <c r="I81" s="92"/>
      <c r="J81" s="92"/>
      <c r="K81" s="92"/>
      <c r="L81" s="92"/>
      <c r="M81" s="93"/>
    </row>
    <row r="82" spans="1:13" x14ac:dyDescent="0.55000000000000004">
      <c r="A82" s="91"/>
      <c r="B82" s="92"/>
      <c r="C82" s="92"/>
      <c r="D82" s="92"/>
      <c r="E82" s="92">
        <f>MATCH(Kg_Flyback,Trans_Core!B2:B7,-1)</f>
        <v>3</v>
      </c>
      <c r="F82" s="92"/>
      <c r="G82" s="92"/>
      <c r="H82" s="92"/>
      <c r="I82" s="92"/>
      <c r="J82" s="92"/>
      <c r="K82" s="92"/>
      <c r="L82" s="92"/>
      <c r="M82" s="93"/>
    </row>
    <row r="83" spans="1:13" x14ac:dyDescent="0.55000000000000004">
      <c r="A83" s="91"/>
      <c r="B83" s="92"/>
      <c r="C83" s="92"/>
      <c r="D83" s="92"/>
      <c r="E83" s="92"/>
      <c r="F83" s="92"/>
      <c r="G83" s="92"/>
      <c r="H83" s="92"/>
      <c r="I83" s="92"/>
      <c r="J83" s="92"/>
      <c r="K83" s="92"/>
      <c r="L83" s="92"/>
      <c r="M83" s="93"/>
    </row>
    <row r="84" spans="1:13" x14ac:dyDescent="0.55000000000000004">
      <c r="A84" s="91" t="s">
        <v>62</v>
      </c>
      <c r="B84" s="92"/>
      <c r="C84" s="92"/>
      <c r="D84" s="92"/>
      <c r="E84" s="523" t="s">
        <v>157</v>
      </c>
      <c r="F84" s="523"/>
      <c r="G84" s="94"/>
      <c r="H84" s="94"/>
      <c r="I84" s="94"/>
      <c r="J84" s="92"/>
      <c r="K84" s="92"/>
      <c r="L84" s="92"/>
      <c r="M84" s="93"/>
    </row>
    <row r="85" spans="1:13" x14ac:dyDescent="0.55000000000000004">
      <c r="A85" s="91" t="s">
        <v>22</v>
      </c>
      <c r="B85" s="12">
        <f>Pout_Flyback</f>
        <v>7.5</v>
      </c>
      <c r="C85" s="92" t="s">
        <v>86</v>
      </c>
      <c r="D85" s="92"/>
      <c r="E85" s="92" t="s">
        <v>106</v>
      </c>
      <c r="F85" s="95" t="str">
        <f>VLOOKUP(T_Index_Flyback_CCM,Trans_Core!A2:H7,3,FALSE)</f>
        <v>E16/8/5</v>
      </c>
      <c r="G85" s="92"/>
      <c r="H85" s="92"/>
      <c r="I85" s="92"/>
      <c r="J85" s="92"/>
      <c r="K85" s="92"/>
      <c r="L85" s="92"/>
      <c r="M85" s="93"/>
    </row>
    <row r="86" spans="1:13" x14ac:dyDescent="0.55000000000000004">
      <c r="A86" s="91" t="s">
        <v>141</v>
      </c>
      <c r="B86" s="7">
        <v>0.5</v>
      </c>
      <c r="C86" s="92"/>
      <c r="D86" s="92"/>
      <c r="E86" s="92" t="s">
        <v>79</v>
      </c>
      <c r="F86" s="95">
        <f>VLOOKUP(T_Index_Flyback_CCM,Trans_Core!A2:H7,6,FALSE)</f>
        <v>37.6</v>
      </c>
      <c r="G86" s="92" t="s">
        <v>85</v>
      </c>
      <c r="H86" s="92"/>
      <c r="I86" s="92"/>
      <c r="J86" s="92"/>
      <c r="K86" s="92"/>
      <c r="L86" s="92"/>
      <c r="M86" s="93"/>
    </row>
    <row r="87" spans="1:13" x14ac:dyDescent="0.55000000000000004">
      <c r="A87" s="91" t="s">
        <v>143</v>
      </c>
      <c r="B87" s="7">
        <v>1.5</v>
      </c>
      <c r="C87" s="92" t="s">
        <v>86</v>
      </c>
      <c r="D87" s="92"/>
      <c r="E87" s="92" t="s">
        <v>80</v>
      </c>
      <c r="F87" s="96">
        <f>VLOOKUP(T_Index_Flyback_CCM,Trans_Core!A2:H7,5,FALSE)</f>
        <v>20.100000000000001</v>
      </c>
      <c r="G87" s="92" t="s">
        <v>84</v>
      </c>
      <c r="H87" s="92"/>
      <c r="I87" s="92"/>
      <c r="J87" s="92"/>
      <c r="K87" s="92"/>
      <c r="L87" s="92"/>
      <c r="M87" s="93"/>
    </row>
    <row r="88" spans="1:13" x14ac:dyDescent="0.55000000000000004">
      <c r="A88" s="91" t="s">
        <v>82</v>
      </c>
      <c r="B88" s="7">
        <v>0.25</v>
      </c>
      <c r="C88" s="92" t="s">
        <v>149</v>
      </c>
      <c r="D88" s="92"/>
      <c r="E88" s="92" t="s">
        <v>81</v>
      </c>
      <c r="F88" s="95">
        <f>VLOOKUP(T_Index_Flyback_CCM,Trans_Core!A2:H7,4,FALSE)</f>
        <v>750</v>
      </c>
      <c r="G88" s="92" t="s">
        <v>83</v>
      </c>
      <c r="H88" s="92"/>
      <c r="I88" s="92"/>
      <c r="J88" s="92"/>
      <c r="K88" s="92"/>
      <c r="L88" s="92"/>
      <c r="M88" s="93"/>
    </row>
    <row r="89" spans="1:13" x14ac:dyDescent="0.55000000000000004">
      <c r="A89" s="91" t="s">
        <v>144</v>
      </c>
      <c r="B89" s="39">
        <f>(pcu*(Lm_Flyback_CCM^2)*(ILrms_Total_Max_FB_CCM^2)*(ILpeak_Max_FlyB_CCM^2)*(10^8))/((Bmax_Flyback^2)*Pcu_Loss_Flyback_CCM*Ku_FlyBack)</f>
        <v>7.2374014767458746E-4</v>
      </c>
      <c r="C89" s="92" t="s">
        <v>150</v>
      </c>
      <c r="D89" s="92"/>
      <c r="E89" s="92" t="s">
        <v>168</v>
      </c>
      <c r="F89" s="95">
        <f>VLOOKUP(T_Index_Flyback_CCM,Trans_Core!A2:H7,7,FALSE)</f>
        <v>16.5</v>
      </c>
      <c r="G89" s="92" t="s">
        <v>84</v>
      </c>
      <c r="H89" s="92"/>
      <c r="I89" s="92"/>
      <c r="J89" s="92"/>
      <c r="K89" s="92"/>
      <c r="L89" s="92"/>
      <c r="M89" s="93"/>
    </row>
    <row r="90" spans="1:13" x14ac:dyDescent="0.55000000000000004">
      <c r="A90" s="91"/>
      <c r="B90" s="92"/>
      <c r="C90" s="92"/>
      <c r="D90" s="92"/>
      <c r="E90" s="92" t="s">
        <v>226</v>
      </c>
      <c r="F90" s="95">
        <f>VLOOKUP(T_Index_Flyback_CCM,Trans_Core!A2:H7,8,FALSE)</f>
        <v>33</v>
      </c>
      <c r="G90" s="92" t="s">
        <v>85</v>
      </c>
      <c r="H90" s="92"/>
      <c r="I90" s="92"/>
      <c r="J90" s="92"/>
      <c r="K90" s="92"/>
      <c r="L90" s="92"/>
      <c r="M90" s="93"/>
    </row>
    <row r="91" spans="1:13" x14ac:dyDescent="0.55000000000000004">
      <c r="A91" s="91" t="s">
        <v>79</v>
      </c>
      <c r="B91" s="7">
        <v>37.6</v>
      </c>
      <c r="C91" s="92" t="s">
        <v>85</v>
      </c>
      <c r="D91" s="92"/>
      <c r="E91" s="92"/>
      <c r="F91" s="92"/>
      <c r="G91" s="92"/>
      <c r="H91" s="92"/>
      <c r="I91" s="92"/>
      <c r="J91" s="92"/>
      <c r="K91" s="92"/>
      <c r="L91" s="92"/>
      <c r="M91" s="93"/>
    </row>
    <row r="92" spans="1:13" x14ac:dyDescent="0.55000000000000004">
      <c r="A92" s="91" t="s">
        <v>80</v>
      </c>
      <c r="B92" s="7">
        <v>20.100000000000001</v>
      </c>
      <c r="C92" s="92" t="s">
        <v>84</v>
      </c>
      <c r="D92" s="92"/>
      <c r="E92" s="97"/>
      <c r="F92" s="92"/>
      <c r="G92" s="92"/>
      <c r="H92" s="92"/>
      <c r="I92" s="92"/>
      <c r="J92" s="92"/>
      <c r="K92" s="92"/>
      <c r="L92" s="92"/>
      <c r="M92" s="93"/>
    </row>
    <row r="93" spans="1:13" x14ac:dyDescent="0.55000000000000004">
      <c r="A93" s="91" t="s">
        <v>81</v>
      </c>
      <c r="B93" s="7">
        <v>750</v>
      </c>
      <c r="C93" s="92" t="s">
        <v>83</v>
      </c>
      <c r="D93" s="92"/>
      <c r="E93" s="98"/>
      <c r="F93" s="92">
        <f>57.7*109</f>
        <v>6289.3</v>
      </c>
      <c r="G93" s="92"/>
      <c r="H93" s="92"/>
      <c r="I93" s="92"/>
      <c r="J93" s="92"/>
      <c r="K93" s="92"/>
      <c r="L93" s="92"/>
      <c r="M93" s="93"/>
    </row>
    <row r="94" spans="1:13" x14ac:dyDescent="0.55000000000000004">
      <c r="A94" s="91" t="s">
        <v>168</v>
      </c>
      <c r="B94" s="7">
        <v>16.5</v>
      </c>
      <c r="C94" s="92" t="s">
        <v>84</v>
      </c>
      <c r="D94" s="92"/>
      <c r="E94" s="92"/>
      <c r="F94" s="92"/>
      <c r="G94" s="92"/>
      <c r="H94" s="92"/>
      <c r="I94" s="92"/>
      <c r="J94" s="92"/>
      <c r="K94" s="92"/>
      <c r="L94" s="92"/>
      <c r="M94" s="93"/>
    </row>
    <row r="95" spans="1:13" x14ac:dyDescent="0.55000000000000004">
      <c r="A95" s="91" t="s">
        <v>226</v>
      </c>
      <c r="B95" s="7">
        <v>33</v>
      </c>
      <c r="C95" s="92" t="s">
        <v>85</v>
      </c>
      <c r="D95" s="92"/>
      <c r="E95" s="92"/>
      <c r="F95" s="92"/>
      <c r="G95" s="92"/>
      <c r="H95" s="92"/>
      <c r="I95" s="92"/>
      <c r="J95" s="92"/>
      <c r="K95" s="92"/>
      <c r="L95" s="92"/>
      <c r="M95" s="93"/>
    </row>
    <row r="96" spans="1:13" x14ac:dyDescent="0.55000000000000004">
      <c r="A96" s="91" t="s">
        <v>166</v>
      </c>
      <c r="B96" s="21">
        <f>((PermAir*Lm_Flyback_CCM*(ILpeak_Max_FlyB_CCM^2))/((Bmax_Flyback^2)*(Ae_Flyback_CCM/100)))*(10^4)*1000</f>
        <v>0.35452019967558079</v>
      </c>
      <c r="C96" s="92" t="s">
        <v>85</v>
      </c>
      <c r="D96" s="92"/>
      <c r="E96" s="92"/>
      <c r="F96" s="92"/>
      <c r="G96" s="92"/>
      <c r="H96" s="92"/>
      <c r="I96" s="92"/>
      <c r="J96" s="92"/>
      <c r="K96" s="92"/>
      <c r="L96" s="92"/>
      <c r="M96" s="93"/>
    </row>
    <row r="97" spans="1:13" x14ac:dyDescent="0.55000000000000004">
      <c r="A97" s="99" t="s">
        <v>184</v>
      </c>
      <c r="B97" s="95"/>
      <c r="C97" s="92"/>
      <c r="D97" s="92"/>
      <c r="E97" s="95" t="s">
        <v>183</v>
      </c>
      <c r="F97" s="92"/>
      <c r="G97" s="92"/>
      <c r="H97" s="92"/>
      <c r="I97" s="92"/>
      <c r="J97" s="92"/>
      <c r="K97" s="92"/>
      <c r="L97" s="92"/>
      <c r="M97" s="93"/>
    </row>
    <row r="98" spans="1:13" x14ac:dyDescent="0.55000000000000004">
      <c r="A98" s="91" t="s">
        <v>167</v>
      </c>
      <c r="B98" s="12">
        <f>CEILING(((Lm_Flyback_CCM*ILpeak_Max_FlyB_CCM)/(Bmax_Flyback*(Ae_Flyback_CCM/100)))*(10^4),1)</f>
        <v>48</v>
      </c>
      <c r="C98" s="92"/>
      <c r="D98" s="92"/>
      <c r="E98" s="92"/>
      <c r="F98" s="92"/>
      <c r="G98" s="92"/>
      <c r="H98" s="92"/>
      <c r="I98" s="92"/>
      <c r="J98" s="92"/>
      <c r="K98" s="92"/>
      <c r="L98" s="92"/>
      <c r="M98" s="93"/>
    </row>
    <row r="99" spans="1:13" x14ac:dyDescent="0.55000000000000004">
      <c r="A99" s="91" t="s">
        <v>98</v>
      </c>
      <c r="B99" s="7">
        <v>23</v>
      </c>
      <c r="C99" s="92"/>
      <c r="D99" s="100" t="s">
        <v>182</v>
      </c>
      <c r="E99" s="103">
        <f>(Np_T_Flyback_CCM*ILrms_Ipri_FlyB_CCM)/(Np_T_Flyback_CCM*ILrms_Total_Max_FB_CCM)</f>
        <v>0.71883234002179741</v>
      </c>
      <c r="F99" s="92"/>
      <c r="G99" s="101"/>
      <c r="H99" s="92"/>
      <c r="I99" s="92"/>
      <c r="J99" s="92"/>
      <c r="K99" s="92"/>
      <c r="L99" s="92"/>
      <c r="M99" s="93"/>
    </row>
    <row r="100" spans="1:13" x14ac:dyDescent="0.55000000000000004">
      <c r="A100" s="91" t="s">
        <v>99</v>
      </c>
      <c r="B100" s="12">
        <f>ROUND((Ns1_Flyback/Np)*Np_T_Flyback_CCM,0)</f>
        <v>9</v>
      </c>
      <c r="C100" s="92"/>
      <c r="D100" s="100" t="s">
        <v>176</v>
      </c>
      <c r="E100" s="103">
        <f>(NVout1_T_Flyback_CCM*ILrms_IVOUT1_FlyB_CCM)/(Np_T_Flyback_CCM*ILrms_Total_Max_FB_CCM)</f>
        <v>0.29339234084682003</v>
      </c>
      <c r="F100" s="92"/>
      <c r="G100" s="92"/>
      <c r="H100" s="92"/>
      <c r="I100" s="92"/>
      <c r="J100" s="92"/>
      <c r="K100" s="92"/>
      <c r="L100" s="92"/>
      <c r="M100" s="93"/>
    </row>
    <row r="101" spans="1:13" x14ac:dyDescent="0.55000000000000004">
      <c r="A101" s="91" t="s">
        <v>100</v>
      </c>
      <c r="B101" s="12">
        <f>ROUND((Ns2_Flyback/Np)*Np_T_Flyback_CCM,0)</f>
        <v>0</v>
      </c>
      <c r="C101" s="92"/>
      <c r="D101" s="100" t="s">
        <v>177</v>
      </c>
      <c r="E101" s="103">
        <f>(NVout2_T_Flyback_CCM*ILrms_IVOUT2_FlyB_CCM)/(Np_T_Flyback_CCM*ILrms_Total_Max_FB_CCM)</f>
        <v>0</v>
      </c>
      <c r="F101" s="92"/>
      <c r="G101" s="92"/>
      <c r="H101" s="92"/>
      <c r="I101" s="92"/>
      <c r="J101" s="92"/>
      <c r="K101" s="92"/>
      <c r="L101" s="92"/>
      <c r="M101" s="93"/>
    </row>
    <row r="102" spans="1:13" x14ac:dyDescent="0.55000000000000004">
      <c r="A102" s="91" t="s">
        <v>101</v>
      </c>
      <c r="B102" s="12">
        <f>ROUND((Ns3_Flyback/Np)*Np_T_Flyback_CCM,0)</f>
        <v>0</v>
      </c>
      <c r="C102" s="92"/>
      <c r="D102" s="100" t="s">
        <v>178</v>
      </c>
      <c r="E102" s="103">
        <f>(NVout3_T_Flyback_CCM*ILrms_IVOUT3_FlyB_CCM)/(Np_T_Flyback_CCM*ILrms_Total_Max_FB_CCM)</f>
        <v>0</v>
      </c>
      <c r="F102" s="92"/>
      <c r="G102" s="92"/>
      <c r="H102" s="92"/>
      <c r="I102" s="92"/>
      <c r="J102" s="92"/>
      <c r="K102" s="92"/>
      <c r="L102" s="92"/>
      <c r="M102" s="93"/>
    </row>
    <row r="103" spans="1:13" x14ac:dyDescent="0.55000000000000004">
      <c r="A103" s="91" t="s">
        <v>102</v>
      </c>
      <c r="B103" s="12">
        <f>ROUND((Ns4_Flyback/Np)*Np_T_Flyback_CCM,0)</f>
        <v>0</v>
      </c>
      <c r="C103" s="92"/>
      <c r="D103" s="100" t="s">
        <v>179</v>
      </c>
      <c r="E103" s="103">
        <f>(NVout4_T_Flyback_CCM*ILrms_IVOUT4_FlyB_CCM)/(Np_T_Flyback_CCM*ILrms_Total_Max_FB_CCM)</f>
        <v>0</v>
      </c>
      <c r="F103" s="92"/>
      <c r="G103" s="92"/>
      <c r="H103" s="92"/>
      <c r="I103" s="92"/>
      <c r="J103" s="92"/>
      <c r="K103" s="92"/>
      <c r="L103" s="92"/>
      <c r="M103" s="93"/>
    </row>
    <row r="104" spans="1:13" x14ac:dyDescent="0.55000000000000004">
      <c r="A104" s="91" t="s">
        <v>103</v>
      </c>
      <c r="B104" s="12">
        <f>ROUND((Ns5_Flyback/Np)*Np_T_Flyback_CCM,0)</f>
        <v>0</v>
      </c>
      <c r="C104" s="92"/>
      <c r="D104" s="100" t="s">
        <v>180</v>
      </c>
      <c r="E104" s="103">
        <f>(NVout5_T_Flyback_CCM*ILrms_IVOUT5_FlyB_CCM)/(Np_T_Flyback_CCM*ILrms_Total_Max_FB_CCM)</f>
        <v>0</v>
      </c>
      <c r="F104" s="92"/>
      <c r="G104" s="92"/>
      <c r="H104" s="92"/>
      <c r="I104" s="92"/>
      <c r="J104" s="92"/>
      <c r="K104" s="92"/>
      <c r="L104" s="92"/>
      <c r="M104" s="93"/>
    </row>
    <row r="105" spans="1:13" x14ac:dyDescent="0.55000000000000004">
      <c r="A105" s="91" t="s">
        <v>104</v>
      </c>
      <c r="B105" s="12">
        <f>ROUND((Ns6_Flyback/Np)*Np_T_Flyback_CCM,0)</f>
        <v>0</v>
      </c>
      <c r="C105" s="92"/>
      <c r="D105" s="100" t="s">
        <v>181</v>
      </c>
      <c r="E105" s="103">
        <f>(NVout6_T_Flyback_CCM*ILrms_IVOUT6_FlyB_CCM)/(Np_T_Flyback_CCM*ILrms_Total_Max_FB_CCM)</f>
        <v>0</v>
      </c>
      <c r="F105" s="92"/>
      <c r="G105" s="92"/>
      <c r="H105" s="92"/>
      <c r="I105" s="92"/>
      <c r="J105" s="92"/>
      <c r="K105" s="92"/>
      <c r="L105" s="92"/>
      <c r="M105" s="93"/>
    </row>
    <row r="106" spans="1:13" x14ac:dyDescent="0.55000000000000004">
      <c r="A106" s="175" t="s">
        <v>398</v>
      </c>
      <c r="B106" s="12">
        <f>ROUND((NsAux_Flyback/Np)*Np_T_Flyback_CCM,0)</f>
        <v>0</v>
      </c>
      <c r="D106" s="100" t="s">
        <v>411</v>
      </c>
      <c r="E106" s="10">
        <f>(NVAUX_T_Flyback_CCM*ILrms_IVAUX_FlyB_CCM)/(Np_T_Flyback_CCM*ILrms_Total_Max_FB_CCM)</f>
        <v>0</v>
      </c>
    </row>
    <row r="107" spans="1:13" x14ac:dyDescent="0.55000000000000004">
      <c r="A107" s="91"/>
      <c r="B107" s="92"/>
      <c r="C107" s="92"/>
      <c r="D107" s="100" t="s">
        <v>266</v>
      </c>
      <c r="E107" s="92" t="s">
        <v>24</v>
      </c>
      <c r="F107" s="92"/>
      <c r="G107" s="92" t="s">
        <v>275</v>
      </c>
      <c r="H107" s="92"/>
      <c r="I107" s="92"/>
      <c r="J107" s="92"/>
      <c r="K107" s="92"/>
      <c r="L107" s="92"/>
      <c r="M107" s="93"/>
    </row>
    <row r="108" spans="1:13" x14ac:dyDescent="0.55000000000000004">
      <c r="A108" s="91" t="s">
        <v>185</v>
      </c>
      <c r="B108" s="102">
        <f>(aPri_FlyB_CCM*Ku_FlyBack*(Wa_Flyback_CCM/100))/Np_T_Flyback_CCM</f>
        <v>2.5784203500781866E-3</v>
      </c>
      <c r="C108" s="92" t="s">
        <v>192</v>
      </c>
      <c r="D108" s="92">
        <f>IF(AwPri_FlyB_CCM&lt;&gt;0,IF(VLOOKUP(AwPri_FlyB_CCM,Trans_Core!X2:Z24,1,TRUE)&lt;AwPri_FlyB_CCM,VLOOKUP(AwPri_FlyB_CCM,Trans_Core!X2:Z24,2,TRUE)-1,VLOOKUP(AwPri_FlyB_CCM,Trans_Core!X2:Z24,1,TRUE)),0)</f>
        <v>22</v>
      </c>
      <c r="E108" s="92">
        <v>25</v>
      </c>
      <c r="F108" s="92" t="s">
        <v>193</v>
      </c>
      <c r="G108" s="98">
        <f>IF(AwPri_FlyB_CCM&lt;&gt;0,VLOOKUP(AWG_Flyback_CCM,Trans_Core!AC2:AD26,2,TRUE),0)</f>
        <v>1.6230000000000001E-3</v>
      </c>
      <c r="H108" s="92" t="s">
        <v>192</v>
      </c>
      <c r="I108" s="92" t="s">
        <v>229</v>
      </c>
      <c r="J108" s="103">
        <f>IF(AwPri_FlyB_CCM&lt;&gt;0,pcu_100C*((MLT_Flyback_CCM/10)*Np_T_Flyback_CCM)/G108,0)</f>
        <v>0.10756007393715339</v>
      </c>
      <c r="K108" s="100" t="s">
        <v>246</v>
      </c>
      <c r="L108" s="92" t="s">
        <v>239</v>
      </c>
      <c r="M108" s="118">
        <f>IF((G108/2)&lt;dSkin,RdcPri_Flyback_CCM,(G108/dSkin)*RdcPri_Flyback_CCM)</f>
        <v>0.10756007393715339</v>
      </c>
    </row>
    <row r="109" spans="1:13" x14ac:dyDescent="0.55000000000000004">
      <c r="A109" s="91" t="s">
        <v>186</v>
      </c>
      <c r="B109" s="102">
        <f>IF(NVout1_T_Flyback_CCM&lt;&gt;0,(a1_FlyB_CCM*Ku_FlyBack*(Wa_Flyback_CCM/100))/NVout1_T_Flyback_CCM,0)</f>
        <v>2.6894297910958504E-3</v>
      </c>
      <c r="C109" s="92" t="s">
        <v>192</v>
      </c>
      <c r="D109" s="92">
        <f>IF(Aw1_FlyB_CCM&lt;&gt;0,IF(VLOOKUP(Aw1_FlyB_CCM,Trans_Core!X2:Z24,1,TRUE)&lt;Aw1_FlyB_CCM,VLOOKUP(Aw1_FlyB_CCM,Trans_Core!X2:Z24,2,TRUE)-1,VLOOKUP(Aw1_FlyB_CCM,Trans_Core!X2:Z24,1,TRUE)),0)</f>
        <v>22</v>
      </c>
      <c r="E109" s="92">
        <v>29</v>
      </c>
      <c r="F109" s="92" t="s">
        <v>193</v>
      </c>
      <c r="G109" s="98">
        <f>IF(Aw1_FlyB_CCM&lt;&gt;0,VLOOKUP(AWG1_Flyback_CCM,Trans_Core!AC2:AD26,2,TRUE),0)</f>
        <v>6.4700000000000001E-4</v>
      </c>
      <c r="H109" s="92" t="s">
        <v>192</v>
      </c>
      <c r="I109" s="92" t="s">
        <v>230</v>
      </c>
      <c r="J109" s="103">
        <f>IF(Aw1_FlyB_CCM&lt;&gt;0,pcu_100C*((MLT_Flyback_CCM/10)*NVout1_T_Flyback_CCM)/G109,0)</f>
        <v>0.10557959814528592</v>
      </c>
      <c r="K109" s="100" t="s">
        <v>246</v>
      </c>
      <c r="L109" s="92" t="s">
        <v>240</v>
      </c>
      <c r="M109" s="118">
        <f>IF((G109/2)&lt;dSkin,Rdc1_Flyback_CCM,(G109/dSkin)*Rdc1_Flyback_CCM)</f>
        <v>0.10557959814528592</v>
      </c>
    </row>
    <row r="110" spans="1:13" x14ac:dyDescent="0.55000000000000004">
      <c r="A110" s="91" t="s">
        <v>187</v>
      </c>
      <c r="B110" s="102">
        <f>IF(NVout2_T_Flyback_CCM&lt;&gt;0,(a2_FlyB_CCM*Ku_FlyBack*(Wa_Flyback_CCM/100))/NVout2_T_Flyback_CCM,0)</f>
        <v>0</v>
      </c>
      <c r="C110" s="92" t="s">
        <v>192</v>
      </c>
      <c r="D110" s="92">
        <f>IF(Aw2_FlyB_CCM&lt;&gt;0,IF(VLOOKUP(Aw2_FlyB_CCM,Trans_Core!X2:Z24,1,TRUE)&lt;Aw2_FlyB_CCM,VLOOKUP(Aw2_FlyB_CCM,Trans_Core!X2:Z24,2,TRUE)-1,VLOOKUP(Aw2_FlyB_CCM,Trans_Core!X2:Z24,1,TRUE)),0)</f>
        <v>0</v>
      </c>
      <c r="E110" s="92">
        <v>29</v>
      </c>
      <c r="F110" s="92" t="s">
        <v>193</v>
      </c>
      <c r="G110" s="98">
        <f>IF(Aw2_FlyB_CCM&lt;&gt;0,VLOOKUP(AWG2_Flyback_CCM,Trans_Core!AC2:AD26,2,TRUE),0)</f>
        <v>0</v>
      </c>
      <c r="H110" s="92" t="s">
        <v>192</v>
      </c>
      <c r="I110" s="92" t="s">
        <v>231</v>
      </c>
      <c r="J110" s="103">
        <f>IF(Aw2_FlyB_CCM&lt;&gt;0,pcu_100C*((MLT_Flyback_CCM/10)*NVout2_T_Flyback_CCM)/G109,0)</f>
        <v>0</v>
      </c>
      <c r="K110" s="100" t="s">
        <v>246</v>
      </c>
      <c r="L110" s="92" t="s">
        <v>241</v>
      </c>
      <c r="M110" s="118">
        <f>IF((G110/2)&lt;dSkin,Rdc2_Flyback_CCM,(G110/dSkin)*Rdc2_Flyback_CCM)</f>
        <v>0</v>
      </c>
    </row>
    <row r="111" spans="1:13" x14ac:dyDescent="0.55000000000000004">
      <c r="A111" s="91" t="s">
        <v>188</v>
      </c>
      <c r="B111" s="102">
        <f>IF(NVout3_T_Flyback_CCM&lt;&gt;0,(a3_FlyB_CCM*Ku_FlyBack*(Wa_Flyback_CCM/100))/NVout3_T_Flyback_CCM,0)</f>
        <v>0</v>
      </c>
      <c r="C111" s="92" t="s">
        <v>192</v>
      </c>
      <c r="D111" s="92">
        <f>IF(Aw3_FlyB_CCM&lt;&gt;0,IF(VLOOKUP(Aw3_FlyB_CCM,Trans_Core!X2:Z24,1,TRUE)&lt;Aw3_FlyB_CCM,VLOOKUP(Aw3_FlyB_CCM,Trans_Core!X2:Z24,2,TRUE)-1,VLOOKUP(Aw3_FlyB_CCM,Trans_Core!X2:Z24,1,TRUE)),0)</f>
        <v>0</v>
      </c>
      <c r="E111" s="92">
        <v>0</v>
      </c>
      <c r="F111" s="92" t="s">
        <v>193</v>
      </c>
      <c r="G111" s="92">
        <f>IF(Aw3_FlyB_CCM&lt;&gt;0,VLOOKUP(AWG3_Flyback_CCM,Trans_Core!AC2:AD26,2,TRUE),0)</f>
        <v>0</v>
      </c>
      <c r="H111" s="92" t="s">
        <v>192</v>
      </c>
      <c r="I111" s="92" t="s">
        <v>232</v>
      </c>
      <c r="J111" s="92">
        <f>IF(Aw3_FlyB_CCM&lt;&gt;0,pcu_100C*((MLT_Flyback_CCM/10)*NVout3_T_Flyback_CCM)/G109,0)</f>
        <v>0</v>
      </c>
      <c r="K111" s="100" t="s">
        <v>246</v>
      </c>
      <c r="L111" s="92" t="s">
        <v>242</v>
      </c>
      <c r="M111" s="93">
        <f>IF((G111/2)&lt;dSkin,Rdc3_Flyback_CCM,(G111/dSkin)*Rdc3_Flyback_CCM)</f>
        <v>0</v>
      </c>
    </row>
    <row r="112" spans="1:13" x14ac:dyDescent="0.55000000000000004">
      <c r="A112" s="91" t="s">
        <v>189</v>
      </c>
      <c r="B112" s="102">
        <f>IF(NVout4_T_Flyback_CCM&lt;&gt;0,(a4_FlyB_CCM*Ku_FlyBack*(Wa_Flyback_CCM/100))/NVout4_T_Flyback_CCM,0)</f>
        <v>0</v>
      </c>
      <c r="C112" s="92" t="s">
        <v>192</v>
      </c>
      <c r="D112" s="92">
        <f>IF(Aw4_FlyB_CCM&lt;&gt;0,IF(VLOOKUP(Aw4_FlyB_CCM,Trans_Core!X2:Z24,1,TRUE)&lt;Aw4_FlyB_CCM,VLOOKUP(Aw4_FlyB_CCM,Trans_Core!X2:Z24,2,TRUE)-1,VLOOKUP(Aw4_FlyB_CCM,Trans_Core!X2:Z24,1,TRUE)),0)</f>
        <v>0</v>
      </c>
      <c r="E112" s="92">
        <f>IF(Aw4_FlyB_CCM&lt;&gt;0,IF(VLOOKUP(Aw4_FlyB_CCM,Trans_Core!X2:Z24,1,TRUE)&lt;Aw4_FlyB_CCM,VLOOKUP(Aw4_FlyB_CCM,Trans_Core!X2:Z24,2,TRUE)-1,VLOOKUP(Aw4_FlyB_CCM,Trans_Core!X2:Z24,1,TRUE)),0)</f>
        <v>0</v>
      </c>
      <c r="F112" s="92" t="s">
        <v>193</v>
      </c>
      <c r="G112" s="92">
        <f>IF(Aw4_FlyB_CCM&lt;&gt;0,VLOOKUP(AWG4_Flyback_CCM,Trans_Core!AC2:AD26,2,TRUE),0)</f>
        <v>0</v>
      </c>
      <c r="H112" s="92" t="s">
        <v>192</v>
      </c>
      <c r="I112" s="92" t="s">
        <v>233</v>
      </c>
      <c r="J112" s="92">
        <f>IF(Aw4_FlyB_CCM&lt;&gt;0,pcu_100C*((MLT_Flyback_CCM/10)*NVout4_T_Flyback_CCM)/G109,0)</f>
        <v>0</v>
      </c>
      <c r="K112" s="100" t="s">
        <v>246</v>
      </c>
      <c r="L112" s="92" t="s">
        <v>243</v>
      </c>
      <c r="M112" s="93">
        <f>IF((G112/2)&lt;dSkin,Rdc4_Flyback_CCM,(G112/dSkin)*Rdc4_Flyback_CCM)</f>
        <v>0</v>
      </c>
    </row>
    <row r="113" spans="1:56" x14ac:dyDescent="0.55000000000000004">
      <c r="A113" s="91" t="s">
        <v>190</v>
      </c>
      <c r="B113" s="102">
        <f>IF(NVout5_T_Flyback_CCM&lt;&gt;0,(a5_FlyB_CCM*Ku_FlyBack*(Wa_Flyback_CCM/100))/NVout5_T_Flyback_CCM,0)</f>
        <v>0</v>
      </c>
      <c r="C113" s="92" t="s">
        <v>192</v>
      </c>
      <c r="D113" s="92">
        <f>IF(Aw5_FlyB_CCM&lt;&gt;0,IF(VLOOKUP(Aw5_FlyB_CCM,Trans_Core!X2:Z24,1,TRUE)&lt;Aw5_FlyB_CCM,VLOOKUP(Aw5_FlyB_CCM,Trans_Core!X2:Z24,2,TRUE)-1,VLOOKUP(Aw5_FlyB_CCM,Trans_Core!X2:Z24,1,TRUE)),0)</f>
        <v>0</v>
      </c>
      <c r="E113" s="92">
        <f>IF(Aw5_FlyB_CCM&lt;&gt;0,IF(VLOOKUP(Aw5_FlyB_CCM,Trans_Core!X2:Z24,1,TRUE)&lt;Aw5_FlyB_CCM,VLOOKUP(Aw5_FlyB_CCM,Trans_Core!X2:Z24,2,TRUE)-1,VLOOKUP(Aw5_FlyB_CCM,Trans_Core!X2:Z24,1,TRUE)),0)</f>
        <v>0</v>
      </c>
      <c r="F113" s="92" t="s">
        <v>193</v>
      </c>
      <c r="G113" s="92">
        <f>IF(Aw5_FlyB_CCM&lt;&gt;0,VLOOKUP(AWG5_Flyback_CCM,Trans_Core!AC2:AD26,2,TRUE),0)</f>
        <v>0</v>
      </c>
      <c r="H113" s="92" t="s">
        <v>192</v>
      </c>
      <c r="I113" s="92" t="s">
        <v>234</v>
      </c>
      <c r="J113" s="92">
        <f>IF(Aw5_FlyB_CCM&lt;&gt;0,pcu_100C*((MLT_Flyback_CCM/10)*NVout5_T_Flyback_CCM)/G109,0)</f>
        <v>0</v>
      </c>
      <c r="K113" s="100" t="s">
        <v>246</v>
      </c>
      <c r="L113" s="92" t="s">
        <v>244</v>
      </c>
      <c r="M113" s="93">
        <f>IF((G113/2)&lt;dSkin,Rdc5_Flyback_CCM,(G113/dSkin)*Rdc5_Flyback_CCM)</f>
        <v>0</v>
      </c>
    </row>
    <row r="114" spans="1:56" ht="14.7" thickBot="1" x14ac:dyDescent="0.6">
      <c r="A114" s="104" t="s">
        <v>191</v>
      </c>
      <c r="B114" s="105">
        <f>IF(NVout6_T_Flyback_CCM&lt;&gt;0,(a6_FlyB_CCM*Ku_FlyBack*(Wa_Flyback_CCM/100))/NVout6_T_Flyback_CCM,0)</f>
        <v>0</v>
      </c>
      <c r="C114" s="106" t="s">
        <v>192</v>
      </c>
      <c r="D114" s="106">
        <f>IF(Aw6_FlyB_CCM&lt;&gt;0,IF(VLOOKUP(Aw6_FlyB_CCM,Trans_Core!X2:Z24,1,TRUE)&lt;Aw6_FlyB_CCM,VLOOKUP(Aw6_FlyB_CCM,Trans_Core!X2:Z24,2,TRUE)-1,VLOOKUP(Aw6_FlyB_CCM,Trans_Core!X2:Z24,1,TRUE)),0)</f>
        <v>0</v>
      </c>
      <c r="E114" s="106">
        <f>IF(Aw6_FlyB_CCM&lt;&gt;0,IF(VLOOKUP(Aw6_FlyB_CCM,Trans_Core!X2:Z24,1,TRUE)&lt;Aw6_FlyB_CCM,VLOOKUP(Aw6_FlyB_CCM,Trans_Core!X2:Z24,2,TRUE)-1,VLOOKUP(Aw6_FlyB_CCM,Trans_Core!X2:Z24,1,TRUE)),0)</f>
        <v>0</v>
      </c>
      <c r="F114" s="106" t="s">
        <v>193</v>
      </c>
      <c r="G114" s="106">
        <f>IF(Aw6_FlyB_CCM&lt;&gt;0,VLOOKUP(AWG6_Flyback_CCM,Trans_Core!AC2:AD26,2,TRUE),0)</f>
        <v>0</v>
      </c>
      <c r="H114" s="106" t="s">
        <v>192</v>
      </c>
      <c r="I114" s="106" t="s">
        <v>235</v>
      </c>
      <c r="J114" s="106">
        <f>IF(Aw6_FlyB_CCM&lt;&gt;0,pcu_100C*((MLT_Flyback_CCM/10)*NVout6_T_Flyback_CCM)/G109,0)</f>
        <v>0</v>
      </c>
      <c r="K114" s="107" t="s">
        <v>246</v>
      </c>
      <c r="L114" s="106" t="s">
        <v>245</v>
      </c>
      <c r="M114" s="108">
        <f>IF((G114/2)&lt;dSkin,Rdc6_Flyback_CCM,(G114/dSkin)*Rdc6_Flyback_CCM)</f>
        <v>0</v>
      </c>
    </row>
    <row r="115" spans="1:56" ht="14.7" thickBot="1" x14ac:dyDescent="0.6">
      <c r="A115" s="104" t="s">
        <v>412</v>
      </c>
      <c r="B115" s="105">
        <f>IF(NVAUX_T_Flyback_CCM&lt;&gt;0,(aAUX_FlyB_CCM*Ku_FlyBack*(Wa_Flyback_CCM/100))/NVAUX_T_Flyback_CCM,0)</f>
        <v>0</v>
      </c>
      <c r="C115" s="106" t="s">
        <v>192</v>
      </c>
      <c r="D115" s="106">
        <f>IF(AwAUX_FlyB_CCM&lt;&gt;0,IF(VLOOKUP(AwAUX_FlyB_CCM,Trans_Core!X3:Z25,1,TRUE)&lt;AwAUX_FlyB_CCM,VLOOKUP(AwAUX_FlyB_CCM,Trans_Core!X3:Z25,2,TRUE)-1,VLOOKUP(AwAUX_FlyB_CCM,Trans_Core!X3:Z25,1,TRUE)),0)</f>
        <v>0</v>
      </c>
      <c r="E115" s="106">
        <v>29</v>
      </c>
      <c r="F115" s="106" t="s">
        <v>193</v>
      </c>
      <c r="G115" s="106">
        <f>IF(AwAUX_FlyB_CCM&lt;&gt;0,VLOOKUP(AWGAUX_Flyback_CCM,Trans_Core!AC3:AD27,2,TRUE),0)</f>
        <v>0</v>
      </c>
      <c r="H115" s="106" t="s">
        <v>192</v>
      </c>
      <c r="I115" s="106" t="s">
        <v>235</v>
      </c>
      <c r="J115" s="120">
        <f>IF(AwAUX_FlyB_CCM&lt;&gt;0,pcu_100C*((MLT_Flyback_CCM/10)*NVAUX_T_Flyback_CCM)/G110,0)</f>
        <v>0</v>
      </c>
      <c r="K115" s="107" t="s">
        <v>246</v>
      </c>
      <c r="L115" s="106" t="s">
        <v>245</v>
      </c>
      <c r="M115" s="121">
        <f>IF((G115/2)&lt;dSkin,RdcAUX_Flyback_CCM,(G115/dSkin)*RdcAUX_Flyback_CCM)</f>
        <v>0</v>
      </c>
    </row>
    <row r="116" spans="1:56" s="572" customFormat="1" ht="14.7" thickBot="1" x14ac:dyDescent="0.6">
      <c r="A116" s="571" t="s">
        <v>274</v>
      </c>
      <c r="B116" s="571"/>
      <c r="C116" s="571"/>
      <c r="D116" s="571"/>
      <c r="E116" s="571"/>
      <c r="F116" s="571"/>
      <c r="G116" s="571"/>
      <c r="H116" s="571"/>
      <c r="I116" s="571"/>
      <c r="J116" s="571"/>
      <c r="K116" s="571"/>
      <c r="L116" s="571"/>
      <c r="M116" s="571"/>
      <c r="N116" s="571"/>
      <c r="O116" s="571"/>
      <c r="P116" s="571"/>
      <c r="Q116" s="571"/>
      <c r="R116" s="571"/>
      <c r="S116" s="571"/>
      <c r="T116" s="571"/>
      <c r="U116" s="571"/>
      <c r="V116" s="571"/>
      <c r="W116" s="571"/>
      <c r="X116" s="571"/>
      <c r="Y116" s="571"/>
      <c r="Z116" s="571"/>
      <c r="AA116" s="571"/>
      <c r="AB116" s="571"/>
      <c r="AC116" s="571"/>
      <c r="AD116" s="571"/>
      <c r="AE116" s="571"/>
      <c r="AF116" s="571"/>
      <c r="AG116" s="571"/>
      <c r="AH116" s="571"/>
      <c r="AI116" s="571"/>
      <c r="AJ116" s="571"/>
      <c r="AK116" s="571"/>
      <c r="AL116" s="571"/>
      <c r="AM116" s="571"/>
      <c r="AN116" s="571"/>
      <c r="AO116" s="571"/>
      <c r="AP116" s="571"/>
      <c r="AQ116" s="571"/>
      <c r="AR116" s="571"/>
      <c r="AS116" s="571"/>
      <c r="AT116" s="571"/>
      <c r="AU116" s="571"/>
      <c r="AV116" s="571"/>
      <c r="AW116" s="571"/>
      <c r="AX116" s="571"/>
      <c r="AY116" s="571"/>
      <c r="AZ116" s="571"/>
      <c r="BA116" s="571"/>
      <c r="BB116" s="571"/>
      <c r="BC116" s="571"/>
      <c r="BD116" s="571"/>
    </row>
    <row r="117" spans="1:56" s="572" customFormat="1" x14ac:dyDescent="0.55000000000000004">
      <c r="A117" s="571"/>
      <c r="B117" s="571"/>
      <c r="C117" s="571"/>
      <c r="D117" s="571"/>
      <c r="E117" s="571"/>
      <c r="F117" s="571"/>
      <c r="G117" s="571"/>
      <c r="H117" s="571"/>
      <c r="I117" s="571"/>
      <c r="J117" s="571"/>
      <c r="K117" s="571"/>
      <c r="L117" s="571"/>
      <c r="M117" s="571"/>
      <c r="N117" s="571"/>
      <c r="O117" s="571"/>
      <c r="P117" s="571"/>
      <c r="Q117" s="571"/>
      <c r="R117" s="571"/>
      <c r="S117" s="571"/>
      <c r="T117" s="571"/>
      <c r="U117" s="571"/>
      <c r="V117" s="571"/>
      <c r="W117" s="571"/>
      <c r="X117" s="571"/>
      <c r="Y117" s="571"/>
      <c r="Z117" s="571"/>
      <c r="AA117" s="571"/>
      <c r="AB117" s="571"/>
      <c r="AC117" s="571"/>
      <c r="AD117" s="571"/>
      <c r="AE117" s="571"/>
      <c r="AF117" s="571"/>
      <c r="AG117" s="571"/>
      <c r="AH117" s="571"/>
      <c r="AI117" s="571"/>
      <c r="AJ117" s="571"/>
      <c r="AK117" s="571"/>
      <c r="AL117" s="571"/>
      <c r="AM117" s="571"/>
      <c r="AN117" s="571"/>
      <c r="AO117" s="571"/>
      <c r="AP117" s="571"/>
      <c r="AQ117" s="571"/>
      <c r="AR117" s="571"/>
      <c r="AS117" s="571"/>
      <c r="AT117" s="571"/>
      <c r="AU117" s="571"/>
      <c r="AV117" s="571"/>
      <c r="AW117" s="571"/>
      <c r="AX117" s="571"/>
      <c r="AY117" s="571"/>
      <c r="AZ117" s="571"/>
      <c r="BA117" s="571"/>
      <c r="BB117" s="571"/>
      <c r="BC117" s="571"/>
      <c r="BD117" s="571"/>
    </row>
    <row r="118" spans="1:56" x14ac:dyDescent="0.55000000000000004">
      <c r="A118" s="91"/>
      <c r="B118" s="92"/>
      <c r="C118" s="92"/>
      <c r="D118" s="92"/>
      <c r="E118" s="92" t="s">
        <v>263</v>
      </c>
      <c r="F118" s="92"/>
      <c r="G118" s="92"/>
      <c r="H118" s="92"/>
      <c r="I118" s="92"/>
      <c r="J118" s="92"/>
      <c r="K118" s="92"/>
      <c r="L118" s="92"/>
      <c r="M118" s="93"/>
    </row>
    <row r="119" spans="1:56" x14ac:dyDescent="0.55000000000000004">
      <c r="A119" s="91"/>
      <c r="B119" s="92"/>
      <c r="C119" s="92"/>
      <c r="D119" s="92"/>
      <c r="E119" s="92">
        <f>MATCH(Kg_Flyback_DCM,Trans_Core!B2:B7,-1)</f>
        <v>5</v>
      </c>
      <c r="F119" s="92"/>
      <c r="G119" s="92"/>
      <c r="H119" s="92"/>
      <c r="I119" s="92"/>
      <c r="J119" s="92"/>
      <c r="K119" s="92"/>
      <c r="L119" s="92"/>
      <c r="M119" s="93"/>
      <c r="P119" t="s">
        <v>449</v>
      </c>
    </row>
    <row r="120" spans="1:56" x14ac:dyDescent="0.55000000000000004">
      <c r="A120" s="91"/>
      <c r="B120" s="92"/>
      <c r="C120" s="92"/>
      <c r="D120" s="92"/>
      <c r="E120" s="92"/>
      <c r="F120" s="92"/>
      <c r="G120" s="92"/>
      <c r="H120" s="92"/>
      <c r="I120" s="92"/>
      <c r="J120" s="92"/>
      <c r="K120" s="92"/>
      <c r="L120" s="92"/>
      <c r="M120" s="93"/>
      <c r="P120" t="s">
        <v>450</v>
      </c>
    </row>
    <row r="121" spans="1:56" x14ac:dyDescent="0.55000000000000004">
      <c r="A121" s="91" t="s">
        <v>62</v>
      </c>
      <c r="B121" s="92"/>
      <c r="C121" s="92"/>
      <c r="D121" s="92"/>
      <c r="E121" s="523" t="s">
        <v>157</v>
      </c>
      <c r="F121" s="523"/>
      <c r="G121" s="94"/>
      <c r="H121" s="94"/>
      <c r="I121" s="94"/>
      <c r="J121" s="92"/>
      <c r="K121" s="92"/>
      <c r="L121" s="92"/>
      <c r="M121" s="93"/>
      <c r="P121" t="s">
        <v>451</v>
      </c>
    </row>
    <row r="122" spans="1:56" x14ac:dyDescent="0.55000000000000004">
      <c r="A122" s="91" t="s">
        <v>22</v>
      </c>
      <c r="B122" s="12">
        <f>Pout_Flyback</f>
        <v>7.5</v>
      </c>
      <c r="C122" s="92" t="s">
        <v>86</v>
      </c>
      <c r="D122" s="92"/>
      <c r="E122" s="92" t="s">
        <v>106</v>
      </c>
      <c r="F122" s="111" t="str">
        <f>VLOOKUP(T_Index_Flyback_DCM,Trans_Core!A2:H7,3,FALSE)</f>
        <v>E6.3/2.9/2</v>
      </c>
      <c r="G122" s="92"/>
      <c r="H122" s="92"/>
      <c r="I122" s="92"/>
      <c r="J122" s="92"/>
      <c r="K122" s="92"/>
      <c r="L122" s="92"/>
      <c r="M122" s="93"/>
      <c r="P122" t="s">
        <v>452</v>
      </c>
    </row>
    <row r="123" spans="1:56" x14ac:dyDescent="0.55000000000000004">
      <c r="A123" s="91" t="s">
        <v>141</v>
      </c>
      <c r="B123" s="7">
        <v>0.5</v>
      </c>
      <c r="C123" s="92"/>
      <c r="D123" s="92"/>
      <c r="E123" s="92" t="s">
        <v>79</v>
      </c>
      <c r="F123" s="111">
        <f>VLOOKUP(T_Index_Flyback_DCM,Trans_Core!A2:H7,6,FALSE)</f>
        <v>12.2</v>
      </c>
      <c r="G123" s="92" t="s">
        <v>85</v>
      </c>
      <c r="H123" s="92"/>
      <c r="I123" s="92"/>
      <c r="J123" s="92"/>
      <c r="K123" s="92"/>
      <c r="L123" s="92"/>
      <c r="M123" s="93"/>
    </row>
    <row r="124" spans="1:56" x14ac:dyDescent="0.55000000000000004">
      <c r="A124" s="91" t="s">
        <v>143</v>
      </c>
      <c r="B124" s="7">
        <v>1.5</v>
      </c>
      <c r="C124" s="92" t="s">
        <v>86</v>
      </c>
      <c r="D124" s="92"/>
      <c r="E124" s="92" t="s">
        <v>80</v>
      </c>
      <c r="F124" s="96">
        <f>VLOOKUP(T_Index_Flyback_DCM,Trans_Core!A2:H7,5,FALSE)</f>
        <v>3.3</v>
      </c>
      <c r="G124" s="92" t="s">
        <v>84</v>
      </c>
      <c r="H124" s="92"/>
      <c r="I124" s="92"/>
      <c r="J124" s="92"/>
      <c r="K124" s="92"/>
      <c r="L124" s="92"/>
      <c r="M124" s="93"/>
    </row>
    <row r="125" spans="1:56" x14ac:dyDescent="0.55000000000000004">
      <c r="A125" s="91" t="s">
        <v>82</v>
      </c>
      <c r="B125" s="7">
        <v>0.25</v>
      </c>
      <c r="C125" s="92" t="s">
        <v>149</v>
      </c>
      <c r="D125" s="92"/>
      <c r="E125" s="92" t="s">
        <v>81</v>
      </c>
      <c r="F125" s="111">
        <f>VLOOKUP(T_Index_Flyback_DCM,Trans_Core!A2:H7,4,FALSE)</f>
        <v>40.6</v>
      </c>
      <c r="G125" s="92" t="s">
        <v>83</v>
      </c>
      <c r="H125" s="92"/>
      <c r="I125" s="92"/>
      <c r="J125" s="92"/>
      <c r="K125" s="92"/>
      <c r="L125" s="92"/>
      <c r="M125" s="93"/>
    </row>
    <row r="126" spans="1:56" x14ac:dyDescent="0.55000000000000004">
      <c r="A126" s="91" t="s">
        <v>144</v>
      </c>
      <c r="B126" s="39">
        <f>(pcu*(Lm_Flyback_DCM^2)*(ILrms_Total_Max_FB_DCM^2)*(ILpeak_Max_FlyB_DCM^2)*(10^8))/((Bmax_Flyback_DCM^2)*Pcu_Loss_Flyback_DCM*Ku_FlyBack_DCM)</f>
        <v>1.361335713963804E-5</v>
      </c>
      <c r="C126" s="92" t="s">
        <v>150</v>
      </c>
      <c r="D126" s="92"/>
      <c r="E126" s="92" t="s">
        <v>168</v>
      </c>
      <c r="F126" s="111">
        <f>VLOOKUP(T_Index_Flyback_DCM,Trans_Core!A2:H7,7,FALSE)</f>
        <v>2.31</v>
      </c>
      <c r="G126" s="92" t="s">
        <v>84</v>
      </c>
      <c r="H126" s="92"/>
      <c r="I126" s="92"/>
      <c r="J126" s="92"/>
      <c r="K126" s="92"/>
      <c r="L126" s="92"/>
      <c r="M126" s="93"/>
    </row>
    <row r="127" spans="1:56" x14ac:dyDescent="0.55000000000000004">
      <c r="A127" s="91"/>
      <c r="B127" s="92"/>
      <c r="C127" s="92"/>
      <c r="D127" s="92"/>
      <c r="E127" s="92" t="s">
        <v>226</v>
      </c>
      <c r="F127" s="111">
        <f>VLOOKUP(T_Index_Flyback_DCM,Trans_Core!A2:H7,8,FALSE)</f>
        <v>12.8</v>
      </c>
      <c r="G127" s="92" t="s">
        <v>85</v>
      </c>
      <c r="H127" s="92"/>
      <c r="I127" s="92"/>
      <c r="J127" s="92"/>
      <c r="K127" s="92"/>
      <c r="L127" s="92"/>
      <c r="M127" s="93"/>
    </row>
    <row r="128" spans="1:56" x14ac:dyDescent="0.55000000000000004">
      <c r="A128" s="91" t="s">
        <v>79</v>
      </c>
      <c r="B128" s="7">
        <v>12.2</v>
      </c>
      <c r="C128" s="92" t="s">
        <v>85</v>
      </c>
      <c r="D128" s="92"/>
      <c r="E128" s="92"/>
      <c r="F128" s="92"/>
      <c r="G128" s="92"/>
      <c r="H128" s="92"/>
      <c r="I128" s="92" t="s">
        <v>236</v>
      </c>
      <c r="J128" s="92"/>
      <c r="K128" s="92"/>
      <c r="L128" s="92"/>
      <c r="M128" s="93"/>
    </row>
    <row r="129" spans="1:13" x14ac:dyDescent="0.55000000000000004">
      <c r="A129" s="91" t="s">
        <v>80</v>
      </c>
      <c r="B129" s="7">
        <v>3.3</v>
      </c>
      <c r="C129" s="92" t="s">
        <v>84</v>
      </c>
      <c r="D129" s="92"/>
      <c r="E129" s="97"/>
      <c r="F129" s="92"/>
      <c r="G129" s="92"/>
      <c r="H129" s="92"/>
      <c r="I129" s="92"/>
      <c r="J129" s="92"/>
      <c r="K129" s="92"/>
      <c r="L129" s="92"/>
      <c r="M129" s="93"/>
    </row>
    <row r="130" spans="1:13" x14ac:dyDescent="0.55000000000000004">
      <c r="A130" s="91" t="s">
        <v>81</v>
      </c>
      <c r="B130" s="7">
        <v>40.6</v>
      </c>
      <c r="C130" s="92" t="s">
        <v>83</v>
      </c>
      <c r="D130" s="92"/>
      <c r="E130" s="98"/>
      <c r="F130" s="92"/>
      <c r="G130" s="92"/>
      <c r="H130" s="92"/>
      <c r="I130" s="92"/>
      <c r="J130" s="92"/>
      <c r="K130" s="92"/>
      <c r="L130" s="92"/>
      <c r="M130" s="93"/>
    </row>
    <row r="131" spans="1:13" x14ac:dyDescent="0.55000000000000004">
      <c r="A131" s="91" t="s">
        <v>168</v>
      </c>
      <c r="B131" s="7">
        <v>2.31</v>
      </c>
      <c r="C131" s="92" t="s">
        <v>84</v>
      </c>
      <c r="D131" s="92"/>
      <c r="E131" s="92"/>
      <c r="F131" s="92"/>
      <c r="G131" s="92"/>
      <c r="H131" s="92"/>
      <c r="I131" s="92"/>
      <c r="J131" s="92"/>
      <c r="K131" s="92"/>
      <c r="L131" s="92"/>
      <c r="M131" s="93"/>
    </row>
    <row r="132" spans="1:13" x14ac:dyDescent="0.55000000000000004">
      <c r="A132" s="91" t="s">
        <v>226</v>
      </c>
      <c r="B132" s="7">
        <v>12.8</v>
      </c>
      <c r="C132" s="92" t="s">
        <v>85</v>
      </c>
      <c r="D132" s="92"/>
      <c r="E132" s="92"/>
      <c r="F132" s="92"/>
      <c r="G132" s="92"/>
      <c r="H132" s="92"/>
      <c r="I132" s="92"/>
      <c r="J132" s="92"/>
      <c r="K132" s="92"/>
      <c r="L132" s="92"/>
      <c r="M132" s="93"/>
    </row>
    <row r="133" spans="1:13" x14ac:dyDescent="0.55000000000000004">
      <c r="A133" s="91" t="s">
        <v>166</v>
      </c>
      <c r="B133" s="21">
        <f>((PermAir*Lm_Flyback_DCM*(ILpeak_Max_FlyB_DCM^2))/((Bmax_Flyback_DCM^2)*(Ae_Flyback_DCM/100)))*(10^4)*1000</f>
        <v>0.30463928762082854</v>
      </c>
      <c r="C133" s="92" t="s">
        <v>85</v>
      </c>
      <c r="D133" s="92"/>
      <c r="E133" s="92"/>
      <c r="F133" s="92"/>
      <c r="G133" s="92"/>
      <c r="H133" s="92"/>
      <c r="I133" s="92"/>
      <c r="J133" s="92"/>
      <c r="K133" s="92"/>
      <c r="L133" s="92"/>
      <c r="M133" s="93"/>
    </row>
    <row r="134" spans="1:13" x14ac:dyDescent="0.55000000000000004">
      <c r="A134" s="99" t="s">
        <v>184</v>
      </c>
      <c r="B134" s="111"/>
      <c r="C134" s="92"/>
      <c r="D134" s="92"/>
      <c r="E134" s="111" t="s">
        <v>183</v>
      </c>
      <c r="F134" s="92"/>
      <c r="G134" s="92"/>
      <c r="H134" s="92"/>
      <c r="I134" s="92"/>
      <c r="J134" s="92"/>
      <c r="K134" s="92"/>
      <c r="L134" s="92"/>
      <c r="M134" s="93"/>
    </row>
    <row r="135" spans="1:13" x14ac:dyDescent="0.55000000000000004">
      <c r="A135" s="91" t="s">
        <v>167</v>
      </c>
      <c r="B135" s="12">
        <f>CEILING(((Lm_Flyback_DCM*ILpeak_Max_FlyB_DCM)/(Bmax_Flyback_DCM*(Ae_Flyback_DCM/100)))*(10^4),1)</f>
        <v>56</v>
      </c>
      <c r="C135" s="92"/>
      <c r="D135" s="92"/>
      <c r="E135" s="92"/>
      <c r="F135" s="92"/>
      <c r="G135" s="92"/>
      <c r="H135" s="92"/>
      <c r="I135" s="92"/>
      <c r="J135" s="92"/>
      <c r="K135" s="92"/>
      <c r="L135" s="92"/>
      <c r="M135" s="93"/>
    </row>
    <row r="136" spans="1:13" x14ac:dyDescent="0.55000000000000004">
      <c r="A136" s="91" t="s">
        <v>98</v>
      </c>
      <c r="B136" s="7">
        <v>18</v>
      </c>
      <c r="C136" s="92"/>
      <c r="D136" s="100" t="s">
        <v>182</v>
      </c>
      <c r="E136" s="101" t="e">
        <f>(Np_T_Flyback_DCM*ILrms_Ipri_FlyB_DCM)/(Np_T_Flyback_DCM*ILrms_Total_Max_FB_DCM)</f>
        <v>#NUM!</v>
      </c>
      <c r="F136" s="92"/>
      <c r="G136" s="92"/>
      <c r="H136" s="92"/>
      <c r="I136" s="92"/>
      <c r="J136" s="92"/>
      <c r="K136" s="92"/>
      <c r="L136" s="92"/>
      <c r="M136" s="93"/>
    </row>
    <row r="137" spans="1:13" x14ac:dyDescent="0.55000000000000004">
      <c r="A137" s="91" t="s">
        <v>99</v>
      </c>
      <c r="B137" s="12">
        <f>ROUND((Ns1_Flyback/Np)*Np_T_Flyback_DCM,0)</f>
        <v>7</v>
      </c>
      <c r="C137" s="92"/>
      <c r="D137" s="100" t="s">
        <v>176</v>
      </c>
      <c r="E137" s="101">
        <f>(NVout1_T_Flyback_DCM*ILrms_IVOUT1_FlyB_DCM)/(Np_T_Flyback_DCM*ILrms_Total_Max_FB_DCM)</f>
        <v>0.28951430803402034</v>
      </c>
      <c r="F137" s="92"/>
      <c r="G137" s="92"/>
      <c r="H137" s="92"/>
      <c r="I137" s="92"/>
      <c r="J137" s="92"/>
      <c r="K137" s="92"/>
      <c r="L137" s="92"/>
      <c r="M137" s="93"/>
    </row>
    <row r="138" spans="1:13" x14ac:dyDescent="0.55000000000000004">
      <c r="A138" s="91" t="s">
        <v>100</v>
      </c>
      <c r="B138" s="12">
        <f>ROUND((Ns2_Flyback/Np)*Np_T_Flyback_DCM,0)</f>
        <v>0</v>
      </c>
      <c r="C138" s="92"/>
      <c r="D138" s="100" t="s">
        <v>177</v>
      </c>
      <c r="E138" s="101">
        <f>(NVout2_T_Flyback_DCM*ILrms_IVOUT2_FlyB_DCM)/(Np_T_Flyback_DCM*ILrms_Total_Max_FB_DCM)</f>
        <v>0</v>
      </c>
      <c r="F138" s="92"/>
      <c r="G138" s="92"/>
      <c r="H138" s="92"/>
      <c r="I138" s="92"/>
      <c r="J138" s="92"/>
      <c r="K138" s="92"/>
      <c r="L138" s="92"/>
      <c r="M138" s="93"/>
    </row>
    <row r="139" spans="1:13" x14ac:dyDescent="0.55000000000000004">
      <c r="A139" s="91" t="s">
        <v>101</v>
      </c>
      <c r="B139" s="12">
        <f>ROUND((Ns3_Flyback/Np)*Np_T_Flyback_DCM,0)</f>
        <v>0</v>
      </c>
      <c r="C139" s="92"/>
      <c r="D139" s="100" t="s">
        <v>178</v>
      </c>
      <c r="E139" s="101">
        <f>(NVout3_T_Flyback_DCM*ILrms_IVOUT3_FlyB_DCM)/(Np_T_Flyback_DCM*ILrms_Total_Max_FB_DCM)</f>
        <v>0</v>
      </c>
      <c r="F139" s="92"/>
      <c r="G139" s="92"/>
      <c r="H139" s="92"/>
      <c r="I139" s="92"/>
      <c r="J139" s="92"/>
      <c r="K139" s="92"/>
      <c r="L139" s="92"/>
      <c r="M139" s="93"/>
    </row>
    <row r="140" spans="1:13" x14ac:dyDescent="0.55000000000000004">
      <c r="A140" s="91" t="s">
        <v>102</v>
      </c>
      <c r="B140" s="12">
        <f>ROUND((Ns4_Flyback/Np)*Np_T_Flyback_DCM,0)</f>
        <v>0</v>
      </c>
      <c r="C140" s="92"/>
      <c r="D140" s="100" t="s">
        <v>179</v>
      </c>
      <c r="E140" s="101">
        <f>(NVout4_T_Flyback_DCM*ILrms_IVOUT4_FlyB_DCM)/(Np_T_Flyback_DCM*ILrms_Total_Max_FB_DCM)</f>
        <v>0</v>
      </c>
      <c r="F140" s="92"/>
      <c r="G140" s="92"/>
      <c r="H140" s="92"/>
      <c r="I140" s="92"/>
      <c r="J140" s="92"/>
      <c r="K140" s="92"/>
      <c r="L140" s="92"/>
      <c r="M140" s="93"/>
    </row>
    <row r="141" spans="1:13" x14ac:dyDescent="0.55000000000000004">
      <c r="A141" s="91" t="s">
        <v>103</v>
      </c>
      <c r="B141" s="12">
        <f>ROUND((Ns5_Flyback/Np)*Np_T_Flyback_DCM,0)</f>
        <v>0</v>
      </c>
      <c r="C141" s="92"/>
      <c r="D141" s="100" t="s">
        <v>180</v>
      </c>
      <c r="E141" s="101">
        <f>(NVout5_T_Flyback_DCM*ILrms_IVOUT5_FlyB_DCM)/(Np_T_Flyback_DCM*ILrms_Total_Max_FB_DCM)</f>
        <v>0</v>
      </c>
      <c r="F141" s="92"/>
      <c r="G141" s="92"/>
      <c r="H141" s="92"/>
      <c r="I141" s="92"/>
      <c r="J141" s="92"/>
      <c r="K141" s="92"/>
      <c r="L141" s="92"/>
      <c r="M141" s="93"/>
    </row>
    <row r="142" spans="1:13" x14ac:dyDescent="0.55000000000000004">
      <c r="A142" s="91" t="s">
        <v>104</v>
      </c>
      <c r="B142" s="12">
        <f>ROUND((Ns6_Flyback/Np)*Np_T_Flyback_DCM,0)</f>
        <v>0</v>
      </c>
      <c r="C142" s="92"/>
      <c r="D142" s="100" t="s">
        <v>181</v>
      </c>
      <c r="E142" s="101">
        <f>(NVout6_T_Flyback_DCM*ILrms_IVOUT6_FlyB_DCM)/(Np_T_Flyback_DCM*ILrms_Total_Max_FB_DCM)</f>
        <v>0</v>
      </c>
      <c r="F142" s="92"/>
      <c r="G142" s="92"/>
      <c r="H142" s="92"/>
      <c r="I142" s="92"/>
      <c r="J142" s="92"/>
      <c r="K142" s="92"/>
      <c r="L142" s="92"/>
      <c r="M142" s="93"/>
    </row>
    <row r="143" spans="1:13" x14ac:dyDescent="0.55000000000000004">
      <c r="A143" s="175" t="s">
        <v>398</v>
      </c>
      <c r="B143" s="12">
        <f>ROUND((NsAux_Flyback/Np)*Np_T_Flyback_DCM,0)</f>
        <v>0</v>
      </c>
      <c r="D143" s="100" t="s">
        <v>411</v>
      </c>
      <c r="E143" s="15">
        <f>(NVAUX_T_Flyback_DCM*ILrms_IVAUX_FlyB_DCM)/(Np_T_Flyback_DCM*ILrms_Total_Max_FB_DCM)</f>
        <v>0</v>
      </c>
    </row>
    <row r="144" spans="1:13" x14ac:dyDescent="0.55000000000000004">
      <c r="A144" s="91"/>
      <c r="B144" s="92"/>
      <c r="C144" s="92"/>
      <c r="D144" s="100" t="s">
        <v>266</v>
      </c>
      <c r="E144" s="92" t="s">
        <v>24</v>
      </c>
      <c r="F144" s="92"/>
      <c r="G144" s="92" t="s">
        <v>275</v>
      </c>
      <c r="H144" s="92"/>
      <c r="I144" s="92"/>
      <c r="J144" s="92"/>
      <c r="K144" s="92"/>
      <c r="L144" s="92"/>
      <c r="M144" s="137"/>
    </row>
    <row r="145" spans="1:13" x14ac:dyDescent="0.55000000000000004">
      <c r="A145" s="91" t="s">
        <v>185</v>
      </c>
      <c r="B145" s="102" t="e">
        <f>(aPri_FlyB_DCM*Ku_FlyBack_DCM*(Wa_Flyback_DCM/100))/Np_T_Flyback_DCM</f>
        <v>#NUM!</v>
      </c>
      <c r="C145" s="92" t="s">
        <v>192</v>
      </c>
      <c r="D145" s="92" t="e">
        <f>IF(AwPri_FlyB_DCM&lt;&gt;0,IF(VLOOKUP(AwPri_FlyB_DCM,Trans_Core!X2:Z24,1,TRUE)&lt;AwPri_FlyB_DCM,VLOOKUP(AwPri_FlyB_DCM,Trans_Core!X2:Z24,2,TRUE)-1,VLOOKUP(AwPri_FlyB_DCM,Trans_Core!X2:Z24,1,TRUE)),0)</f>
        <v>#NUM!</v>
      </c>
      <c r="E145" s="92">
        <v>25</v>
      </c>
      <c r="F145" s="92" t="s">
        <v>193</v>
      </c>
      <c r="G145" s="98">
        <f>IF(AwPri_FlyB_CCM&lt;&gt;0,VLOOKUP(AWG_Flyback_CCM,Trans_Core!AC2:AD26,2,TRUE),0)</f>
        <v>1.6230000000000001E-3</v>
      </c>
      <c r="H145" s="92" t="s">
        <v>192</v>
      </c>
      <c r="I145" s="92" t="s">
        <v>229</v>
      </c>
      <c r="J145" s="103" t="e">
        <f>IF(AwPri_FlyB_DCM&lt;&gt;0,pcu_100C*((MLT_Flyback_DCM/10)*Np_T_Flyback_DCM)/G145,0)</f>
        <v>#NUM!</v>
      </c>
      <c r="K145" s="100" t="s">
        <v>246</v>
      </c>
      <c r="L145" s="92" t="s">
        <v>239</v>
      </c>
      <c r="M145" s="187" t="e">
        <f>IF((G145/2)&lt;dSkin,RdcPri_Flyback_DCM,(G145/dSkin)*RdcPri_Flyback_DCM)</f>
        <v>#NUM!</v>
      </c>
    </row>
    <row r="146" spans="1:13" x14ac:dyDescent="0.55000000000000004">
      <c r="A146" s="91" t="s">
        <v>186</v>
      </c>
      <c r="B146" s="102">
        <f>IF(NVout1_T_Flyback_DCM&lt;&gt;0,(a1_FlyB_DCM*Ku_FlyBack*(Wa_Flyback_DCM/100))/NVout1_T_Flyback_DCM,0)</f>
        <v>4.7769860825613359E-4</v>
      </c>
      <c r="C146" s="92" t="s">
        <v>192</v>
      </c>
      <c r="D146" s="92">
        <f>IF(Aw1_FlyB_DCM&lt;&gt;0,IF(VLOOKUP(Aw1_FlyB_DCM,Trans_Core!X2:Z24,1,TRUE)&lt;Aw1_FlyB_DCM,VLOOKUP(Aw1_FlyB_DCM,Trans_Core!X2:Z24,2,TRUE)-1,VLOOKUP(Aw1_FlyB_DCM,Trans_Core!X2:Z24,1,TRUE)),0)</f>
        <v>30</v>
      </c>
      <c r="E146" s="92">
        <v>16</v>
      </c>
      <c r="F146" s="92" t="s">
        <v>193</v>
      </c>
      <c r="G146" s="98">
        <f>IF(Aw1_FlyB_DCM&lt;&gt;0,VLOOKUP(AWG1_Flyback_DCM,Trans_Core!AC2:AD26,2,TRUE),0)</f>
        <v>1.307E-2</v>
      </c>
      <c r="H146" s="92" t="s">
        <v>192</v>
      </c>
      <c r="I146" s="92" t="s">
        <v>230</v>
      </c>
      <c r="J146" s="103">
        <f>IF(Aw1_FlyB_DCM&lt;&gt;0,pcu_100C*((MLT_Flyback_DCM/10)*NVout1_T_Flyback_DCM)/G146,0)</f>
        <v>1.5767406273909715E-3</v>
      </c>
      <c r="K146" s="100" t="s">
        <v>246</v>
      </c>
      <c r="L146" s="92" t="s">
        <v>240</v>
      </c>
      <c r="M146" s="187">
        <f>IF((G146/2)&lt;dSkin,Rdc1_Flyback_DCM,(G146/dSkin)*Rdc1_Flyback_DCM)</f>
        <v>1.4788101521881458E-2</v>
      </c>
    </row>
    <row r="147" spans="1:13" x14ac:dyDescent="0.55000000000000004">
      <c r="A147" s="91" t="s">
        <v>187</v>
      </c>
      <c r="B147" s="102">
        <f>IF(NVout2_T_Flyback_DCM&lt;&gt;0,(a2_FlyB_DCM*Ku_FlyBack_DCM*(Wa_Flyback_DCM/100))/NVout2_T_Flyback_DCM,0)</f>
        <v>0</v>
      </c>
      <c r="C147" s="92" t="s">
        <v>192</v>
      </c>
      <c r="D147" s="92">
        <f>IF(Aw2_FlyB_DCM&lt;&gt;0,IF(VLOOKUP(Aw2_FlyB_DCM,Trans_Core!X2:Z24,1,TRUE)&lt;Aw2_FlyB_DCM,VLOOKUP(Aw2_FlyB_DCM,Trans_Core!X2:Z24,2,TRUE)-1,VLOOKUP(Aw2_FlyB_DCM,Trans_Core!X2:Z24,1,TRUE)),0)</f>
        <v>0</v>
      </c>
      <c r="E147" s="92">
        <v>16</v>
      </c>
      <c r="F147" s="92" t="s">
        <v>193</v>
      </c>
      <c r="G147" s="98">
        <f>IF(Aw2_FlyB_DCM&lt;&gt;0,VLOOKUP(AWG2_Flyback_DCM,Trans_Core!AC2:AD26,2,TRUE),0)</f>
        <v>0</v>
      </c>
      <c r="H147" s="92" t="s">
        <v>192</v>
      </c>
      <c r="I147" s="92" t="s">
        <v>231</v>
      </c>
      <c r="J147" s="103">
        <f>IF(Aw2_FlyB_DCM&lt;&gt;0,pcu_100C*((MLT_Flyback_DCM/10)*NVout2_T_Flyback_DCM)/G147,0)</f>
        <v>0</v>
      </c>
      <c r="K147" s="100" t="s">
        <v>246</v>
      </c>
      <c r="L147" s="92" t="s">
        <v>241</v>
      </c>
      <c r="M147" s="187">
        <f>IF((G147/2)&lt;dSkin,Rdc2_Flyback_DCM,(G147/dSkin)*Rdc2_Flyback_DCM)</f>
        <v>0</v>
      </c>
    </row>
    <row r="148" spans="1:13" x14ac:dyDescent="0.55000000000000004">
      <c r="A148" s="91" t="s">
        <v>188</v>
      </c>
      <c r="B148" s="102">
        <f>IF(NVout3_T_Flyback_DCM&lt;&gt;0,(a3_FlyB_DCM*Ku_FlyBack_DCM*(Wa_Flyback_DCM/100))/NVout3_T_Flyback_DCM,0)</f>
        <v>0</v>
      </c>
      <c r="C148" s="92" t="s">
        <v>192</v>
      </c>
      <c r="D148" s="92">
        <f>IF(Aw3_FlyB_DCM&lt;&gt;0,IF(VLOOKUP(Aw3_FlyB_DCM,Trans_Core!X2:Z24,1,TRUE)&lt;Aw3_FlyB_DCM,VLOOKUP(Aw3_FlyB_DCM,Trans_Core!X2:Z24,2,TRUE)-1,VLOOKUP(Aw3_FlyB_DCM,Trans_Core!X2:Z24,1,TRUE)),0)</f>
        <v>0</v>
      </c>
      <c r="E148" s="92">
        <v>0</v>
      </c>
      <c r="F148" s="92" t="s">
        <v>193</v>
      </c>
      <c r="G148" s="92">
        <f>IF(Aw3_FlyB_DCM&lt;&gt;0,VLOOKUP(AWG3_Flyback_DCM,Trans_Core!AC2:AD26,2,TRUE),0)</f>
        <v>0</v>
      </c>
      <c r="H148" s="92" t="s">
        <v>192</v>
      </c>
      <c r="I148" s="92" t="s">
        <v>232</v>
      </c>
      <c r="J148" s="92">
        <f>IF(Aw3_FlyB_DCM&lt;&gt;0,pcu_100C*((MLT_Flyback_DCM/10)*NVout3_T_Flyback_DCM)/G148,0)</f>
        <v>0</v>
      </c>
      <c r="K148" s="100" t="s">
        <v>246</v>
      </c>
      <c r="L148" s="92" t="s">
        <v>242</v>
      </c>
      <c r="M148" s="93">
        <f>IF((G148/2)&lt;dSkin,Rdc3_Flyback_DCM,(G148/dSkin)*Rdc3_Flyback_DCM)</f>
        <v>0</v>
      </c>
    </row>
    <row r="149" spans="1:13" x14ac:dyDescent="0.55000000000000004">
      <c r="A149" s="91" t="s">
        <v>189</v>
      </c>
      <c r="B149" s="102">
        <f>IF(NVout4_T_Flyback_DCM&lt;&gt;0,(a4_FlyB_DCM*Ku_FlyBack_DCM*(Wa_Flyback_DCM/100))/NVout4_T_Flyback_DCM,0)</f>
        <v>0</v>
      </c>
      <c r="C149" s="92" t="s">
        <v>192</v>
      </c>
      <c r="D149" s="92">
        <f>IF(Aw4_FlyB_DCM&lt;&gt;0,IF(VLOOKUP(Aw4_FlyB_DCM,Trans_Core!X2:Z24,1,TRUE)&lt;Aw4_FlyB_DCM,VLOOKUP(Aw4_FlyB_DCM,Trans_Core!X2:Z24,2,TRUE)-1,VLOOKUP(Aw4_FlyB_DCM,Trans_Core!X2:Z24,1,TRUE)),0)</f>
        <v>0</v>
      </c>
      <c r="E149" s="92">
        <v>0</v>
      </c>
      <c r="F149" s="92" t="s">
        <v>193</v>
      </c>
      <c r="G149" s="92">
        <f>IF(Aw4_FlyB_DCM&lt;&gt;0,VLOOKUP(AWG4_Flyback_DCM,Trans_Core!AC2:AD26,2,TRUE),0)</f>
        <v>0</v>
      </c>
      <c r="H149" s="92" t="s">
        <v>192</v>
      </c>
      <c r="I149" s="92" t="s">
        <v>233</v>
      </c>
      <c r="J149" s="92">
        <f>IF(Aw4_FlyB_DCM&lt;&gt;0,pcu_100C*((MLT_Flyback_DCM/10)*NVout4_T_Flyback_DCM)/G149,0)</f>
        <v>0</v>
      </c>
      <c r="K149" s="100" t="s">
        <v>246</v>
      </c>
      <c r="L149" s="92" t="s">
        <v>243</v>
      </c>
      <c r="M149" s="93">
        <f>IF((G149/2)&lt;dSkin,Rdc4_Flyback_DCM,(G149/dSkin)*Rdc4_Flyback_DCM)</f>
        <v>0</v>
      </c>
    </row>
    <row r="150" spans="1:13" x14ac:dyDescent="0.55000000000000004">
      <c r="A150" s="91" t="s">
        <v>190</v>
      </c>
      <c r="B150" s="102">
        <f>IF(NVout5_T_Flyback_DCM&lt;&gt;0,(a5_FlyB_DCM*Ku_FlyBack_DCM*(Wa_Flyback_DCM/100))/NVout5_T_Flyback_DCM,0)</f>
        <v>0</v>
      </c>
      <c r="C150" s="92" t="s">
        <v>192</v>
      </c>
      <c r="D150" s="92">
        <f>IF(Aw5_FlyB_DCM&lt;&gt;0,IF(VLOOKUP(Aw5_FlyB_DCM,Trans_Core!X2:Z24,1,TRUE)&lt;Aw5_FlyB_DCM,VLOOKUP(Aw5_FlyB_DCM,Trans_Core!X2:Z24,2,TRUE)-1,VLOOKUP(Aw5_FlyB_DCM,Trans_Core!X2:Z24,1,TRUE)),0)</f>
        <v>0</v>
      </c>
      <c r="E150" s="92">
        <v>0</v>
      </c>
      <c r="F150" s="92" t="s">
        <v>193</v>
      </c>
      <c r="G150" s="92">
        <f>IF(Aw5_FlyB_DCM&lt;&gt;0,VLOOKUP(AWG5_Flyback_DCM,Trans_Core!AC2:AD26,2,TRUE),0)</f>
        <v>0</v>
      </c>
      <c r="H150" s="92" t="s">
        <v>192</v>
      </c>
      <c r="I150" s="92" t="s">
        <v>234</v>
      </c>
      <c r="J150" s="92">
        <f>IF(Aw5_FlyB_DCM&lt;&gt;0,pcu_100C*((MLT_Flyback_DCM/10)*NVout5_T_Flyback_DCM)/G150,0)</f>
        <v>0</v>
      </c>
      <c r="K150" s="100" t="s">
        <v>246</v>
      </c>
      <c r="L150" s="92" t="s">
        <v>244</v>
      </c>
      <c r="M150" s="93">
        <f>IF((G150/2)&lt;dSkin,Rdc5_Flyback_DCM,(G150/dSkin)*Rdc5_Flyback_DCM)</f>
        <v>0</v>
      </c>
    </row>
    <row r="151" spans="1:13" ht="14.7" thickBot="1" x14ac:dyDescent="0.6">
      <c r="A151" s="104" t="s">
        <v>191</v>
      </c>
      <c r="B151" s="105">
        <f>IF(NVout6_T_Flyback_DCM&lt;&gt;0,(a6_FlyB_DCM*Ku_FlyBack_DCM*(Wa_Flyback_DCM/100))/NVout6_T_Flyback_DCM,0)</f>
        <v>0</v>
      </c>
      <c r="C151" s="106" t="s">
        <v>192</v>
      </c>
      <c r="D151" s="106">
        <f>IF(Aw6_FlyB_DCM&lt;&gt;0,IF(VLOOKUP(Aw6_FlyB_DCM,Trans_Core!X2:Z24,1,TRUE)&lt;Aw6_FlyB_DCM,VLOOKUP(Aw6_FlyB_DCM,Trans_Core!X2:Z24,2,TRUE)-1,VLOOKUP(Aw6_FlyB_DCM,Trans_Core!X2:Z24,1,TRUE)),0)</f>
        <v>0</v>
      </c>
      <c r="E151" s="106">
        <v>0</v>
      </c>
      <c r="F151" s="106" t="s">
        <v>193</v>
      </c>
      <c r="G151" s="106">
        <f>IF(Aw6_FlyB_DCM&lt;&gt;0,VLOOKUP(AWG6_Flyback_DCM,Trans_Core!AC2:AD26,2,TRUE),0)</f>
        <v>0</v>
      </c>
      <c r="H151" s="106" t="s">
        <v>192</v>
      </c>
      <c r="I151" s="106" t="s">
        <v>235</v>
      </c>
      <c r="J151" s="106">
        <f>IF(Aw6_FlyB_DCM&lt;&gt;0,pcu_100C*((MLT_Flyback_DCM/10)*NVout6_T_Flyback_DCM)/G151,0)</f>
        <v>0</v>
      </c>
      <c r="K151" s="107" t="s">
        <v>246</v>
      </c>
      <c r="L151" s="106" t="s">
        <v>245</v>
      </c>
      <c r="M151" s="108">
        <f>IF((G151/2)&lt;dSkin,Rdc6_Flyback_DCM,(G151/dSkin)*Rdc6_Flyback_DCM)</f>
        <v>0</v>
      </c>
    </row>
    <row r="152" spans="1:13" ht="14.7" thickBot="1" x14ac:dyDescent="0.6">
      <c r="A152" s="104" t="s">
        <v>412</v>
      </c>
      <c r="B152" s="105">
        <f>IF(NVAUX_T_Flyback_DCM&lt;&gt;0,(aAUX_FlyB_DCM*Ku_FlyBack_DCM*(Wa_Flyback_DCM/100))/NVAUX_T_Flyback_DCM,0)</f>
        <v>0</v>
      </c>
      <c r="C152" s="106" t="s">
        <v>192</v>
      </c>
      <c r="D152" s="106">
        <f>IF(AwAUX_FlyB_DCM&lt;&gt;0,IF(VLOOKUP(AwAUX_FlyB_DCM,Trans_Core!X3:Z25,1,TRUE)&lt;AwAUX_FlyB_DCM,VLOOKUP(AwAUX_FlyB_DCM,Trans_Core!X3:Z25,2,TRUE)-1,VLOOKUP(AwAUX_FlyB_DCM,Trans_Core!X3:Z25,1,TRUE)),0)</f>
        <v>0</v>
      </c>
      <c r="E152" s="106">
        <v>16</v>
      </c>
      <c r="F152" s="106" t="s">
        <v>193</v>
      </c>
      <c r="G152" s="106">
        <f>IF(AwAUX_FlyB_DCM&lt;&gt;0,VLOOKUP(AWGAUX_Flyback_DCM,Trans_Core!AC3:AD27,2,TRUE),0)</f>
        <v>0</v>
      </c>
      <c r="H152" s="106" t="s">
        <v>192</v>
      </c>
      <c r="I152" s="106" t="s">
        <v>235</v>
      </c>
      <c r="J152" s="120">
        <f>IF(AwAUX_FlyB_DCM&lt;&gt;0,pcu_100C*((MLT_Flyback_DCM/10)*NVAUX_T_Flyback_DCM)/G152,0)</f>
        <v>0</v>
      </c>
      <c r="K152" s="107" t="s">
        <v>246</v>
      </c>
      <c r="L152" s="106" t="s">
        <v>245</v>
      </c>
      <c r="M152" s="121">
        <f>IF((G152/2)&lt;dSkin,RdcAUX_Flyback_DCM,(G152/dSkin)*RdcAUX_Flyback_DCM)</f>
        <v>0</v>
      </c>
    </row>
  </sheetData>
  <mergeCells count="17">
    <mergeCell ref="A8:XFD9"/>
    <mergeCell ref="A1:XFD2"/>
    <mergeCell ref="A3:C3"/>
    <mergeCell ref="E53:G53"/>
    <mergeCell ref="A53:C53"/>
    <mergeCell ref="E84:F84"/>
    <mergeCell ref="E121:F121"/>
    <mergeCell ref="E13:F13"/>
    <mergeCell ref="A116:XFD117"/>
    <mergeCell ref="A79:XFD80"/>
    <mergeCell ref="A43:XFD44"/>
    <mergeCell ref="G63:I63"/>
    <mergeCell ref="A71:B71"/>
    <mergeCell ref="I71:K71"/>
    <mergeCell ref="L71:N71"/>
    <mergeCell ref="A52:M52"/>
    <mergeCell ref="A61:M61"/>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8"/>
  <sheetViews>
    <sheetView workbookViewId="0">
      <selection activeCell="G16" sqref="G16"/>
    </sheetView>
  </sheetViews>
  <sheetFormatPr defaultRowHeight="14.4" x14ac:dyDescent="0.55000000000000004"/>
  <cols>
    <col min="2" max="2" width="9.578125" bestFit="1" customWidth="1"/>
    <col min="5" max="5" width="11" bestFit="1" customWidth="1"/>
    <col min="14" max="14" width="12" bestFit="1" customWidth="1"/>
    <col min="17" max="17" width="9.41796875" customWidth="1"/>
  </cols>
  <sheetData>
    <row r="1" spans="1:32" s="14" customFormat="1" ht="57.9" thickBot="1" x14ac:dyDescent="0.6">
      <c r="A1" s="198" t="s">
        <v>28</v>
      </c>
      <c r="B1" s="199" t="s">
        <v>151</v>
      </c>
      <c r="C1" s="199" t="s">
        <v>106</v>
      </c>
      <c r="D1" s="199" t="s">
        <v>156</v>
      </c>
      <c r="E1" s="199" t="s">
        <v>152</v>
      </c>
      <c r="F1" s="199" t="s">
        <v>153</v>
      </c>
      <c r="G1" s="199" t="s">
        <v>154</v>
      </c>
      <c r="H1" s="200" t="s">
        <v>155</v>
      </c>
      <c r="J1" s="192" t="s">
        <v>204</v>
      </c>
      <c r="K1" s="192" t="s">
        <v>195</v>
      </c>
      <c r="L1" s="192" t="s">
        <v>197</v>
      </c>
      <c r="M1" s="192" t="s">
        <v>196</v>
      </c>
      <c r="N1" s="192" t="s">
        <v>198</v>
      </c>
      <c r="O1" s="192" t="s">
        <v>199</v>
      </c>
      <c r="P1" s="192" t="s">
        <v>200</v>
      </c>
      <c r="Q1" s="192" t="s">
        <v>201</v>
      </c>
      <c r="R1" s="192" t="s">
        <v>202</v>
      </c>
      <c r="S1" s="192" t="s">
        <v>203</v>
      </c>
      <c r="T1" s="192" t="s">
        <v>105</v>
      </c>
      <c r="X1" s="198" t="s">
        <v>210</v>
      </c>
      <c r="Y1" s="199" t="s">
        <v>193</v>
      </c>
      <c r="Z1" s="200" t="s">
        <v>211</v>
      </c>
      <c r="AC1" s="198" t="s">
        <v>193</v>
      </c>
      <c r="AD1" s="199" t="s">
        <v>210</v>
      </c>
      <c r="AE1" s="199" t="s">
        <v>237</v>
      </c>
      <c r="AF1" s="200" t="s">
        <v>238</v>
      </c>
    </row>
    <row r="2" spans="1:32" ht="15" x14ac:dyDescent="0.25">
      <c r="A2" s="24">
        <v>1</v>
      </c>
      <c r="B2" s="26">
        <f t="shared" ref="B2:B7" si="0">((E2/100)^2)*(G2/100)/(H2/10)</f>
        <v>1.2857921741344197E-2</v>
      </c>
      <c r="C2" s="25" t="s">
        <v>162</v>
      </c>
      <c r="D2" s="25">
        <v>1930</v>
      </c>
      <c r="E2" s="25">
        <v>39.5</v>
      </c>
      <c r="F2" s="25">
        <v>49</v>
      </c>
      <c r="G2" s="25">
        <v>40.463000000000001</v>
      </c>
      <c r="H2" s="27">
        <v>49.1</v>
      </c>
      <c r="J2" s="24">
        <v>1</v>
      </c>
      <c r="K2" s="25" t="s">
        <v>163</v>
      </c>
      <c r="L2" s="25">
        <v>20</v>
      </c>
      <c r="M2" s="25">
        <v>100</v>
      </c>
      <c r="N2" s="26">
        <v>0</v>
      </c>
      <c r="O2" s="33">
        <v>0</v>
      </c>
      <c r="P2" s="33">
        <v>0</v>
      </c>
      <c r="Q2" s="33">
        <v>0</v>
      </c>
      <c r="R2" s="33">
        <v>0</v>
      </c>
      <c r="S2" s="33">
        <v>0</v>
      </c>
      <c r="T2" s="34">
        <v>0</v>
      </c>
      <c r="X2" s="24">
        <f>0.2011*(10^-3)</f>
        <v>2.0110000000000001E-4</v>
      </c>
      <c r="Y2" s="25">
        <v>34</v>
      </c>
      <c r="Z2" s="27">
        <v>8572.7999999999993</v>
      </c>
      <c r="AC2" s="144">
        <v>10</v>
      </c>
      <c r="AD2" s="191">
        <f>52.41*(10^-3)</f>
        <v>5.2409999999999998E-2</v>
      </c>
      <c r="AE2" s="196">
        <v>0.26700000000000002</v>
      </c>
      <c r="AF2" s="197">
        <f>AE2/2</f>
        <v>0.13350000000000001</v>
      </c>
    </row>
    <row r="3" spans="1:32" ht="15" x14ac:dyDescent="0.25">
      <c r="A3" s="28">
        <v>2</v>
      </c>
      <c r="B3" s="19">
        <f t="shared" si="0"/>
        <v>7.0731609302325587E-3</v>
      </c>
      <c r="C3" s="12" t="s">
        <v>161</v>
      </c>
      <c r="D3" s="12">
        <v>1340</v>
      </c>
      <c r="E3" s="12">
        <v>31.2</v>
      </c>
      <c r="F3" s="12">
        <v>42.8</v>
      </c>
      <c r="G3" s="12">
        <v>28.12</v>
      </c>
      <c r="H3" s="29">
        <v>38.700000000000003</v>
      </c>
      <c r="J3" s="28">
        <v>2</v>
      </c>
      <c r="K3" s="12" t="s">
        <v>163</v>
      </c>
      <c r="L3" s="12">
        <v>100</v>
      </c>
      <c r="M3" s="12">
        <v>200</v>
      </c>
      <c r="N3" s="19">
        <v>0</v>
      </c>
      <c r="O3" s="23">
        <v>0</v>
      </c>
      <c r="P3" s="23">
        <v>0</v>
      </c>
      <c r="Q3" s="23">
        <v>0</v>
      </c>
      <c r="R3" s="23">
        <v>0</v>
      </c>
      <c r="S3" s="23">
        <v>0</v>
      </c>
      <c r="T3" s="35">
        <v>0</v>
      </c>
      <c r="X3" s="28">
        <f>0.2554*(10^-3)</f>
        <v>2.5540000000000003E-4</v>
      </c>
      <c r="Y3" s="12">
        <v>33</v>
      </c>
      <c r="Z3" s="29">
        <v>6748.6</v>
      </c>
      <c r="AC3" s="28">
        <v>11</v>
      </c>
      <c r="AD3" s="12">
        <f>41.6*(10^-3)</f>
        <v>4.1600000000000005E-2</v>
      </c>
      <c r="AE3" s="186">
        <v>0.23799999999999999</v>
      </c>
      <c r="AF3" s="193">
        <f t="shared" ref="AF3:AF26" si="1">AE3/2</f>
        <v>0.11899999999999999</v>
      </c>
    </row>
    <row r="4" spans="1:32" ht="15" x14ac:dyDescent="0.25">
      <c r="A4" s="28">
        <v>3</v>
      </c>
      <c r="B4" s="19">
        <f t="shared" si="0"/>
        <v>2.0200500000000007E-3</v>
      </c>
      <c r="C4" s="12" t="s">
        <v>159</v>
      </c>
      <c r="D4" s="12">
        <v>750</v>
      </c>
      <c r="E4" s="12">
        <v>20.100000000000001</v>
      </c>
      <c r="F4" s="12">
        <v>37.6</v>
      </c>
      <c r="G4" s="12">
        <v>16.5</v>
      </c>
      <c r="H4" s="29">
        <v>33</v>
      </c>
      <c r="J4" s="28">
        <v>3</v>
      </c>
      <c r="K4" s="12" t="s">
        <v>163</v>
      </c>
      <c r="L4" s="12">
        <v>200</v>
      </c>
      <c r="M4" s="12">
        <v>400</v>
      </c>
      <c r="N4" s="19">
        <v>0</v>
      </c>
      <c r="O4" s="23">
        <v>0</v>
      </c>
      <c r="P4" s="23">
        <v>0</v>
      </c>
      <c r="Q4" s="23">
        <v>0</v>
      </c>
      <c r="R4" s="23">
        <v>0</v>
      </c>
      <c r="S4" s="23">
        <v>0</v>
      </c>
      <c r="T4" s="35">
        <v>0</v>
      </c>
      <c r="X4" s="28">
        <f>0.3242*(10^-3)</f>
        <v>3.2420000000000002E-4</v>
      </c>
      <c r="Y4" s="12">
        <v>32</v>
      </c>
      <c r="Z4" s="29">
        <v>5314.9</v>
      </c>
      <c r="AC4" s="28">
        <v>12</v>
      </c>
      <c r="AD4" s="12">
        <f>33.08*(10^-3)</f>
        <v>3.3079999999999998E-2</v>
      </c>
      <c r="AE4" s="186">
        <v>0.21299999999999999</v>
      </c>
      <c r="AF4" s="193">
        <f t="shared" si="1"/>
        <v>0.1065</v>
      </c>
    </row>
    <row r="5" spans="1:32" ht="15" x14ac:dyDescent="0.25">
      <c r="A5" s="28">
        <v>4</v>
      </c>
      <c r="B5" s="19">
        <f t="shared" si="0"/>
        <v>5.402378378378379E-4</v>
      </c>
      <c r="C5" s="12" t="s">
        <v>160</v>
      </c>
      <c r="D5" s="12">
        <v>369</v>
      </c>
      <c r="E5" s="12">
        <v>12.4</v>
      </c>
      <c r="F5" s="12">
        <v>29.7</v>
      </c>
      <c r="G5" s="12">
        <v>10.4</v>
      </c>
      <c r="H5" s="29">
        <v>29.6</v>
      </c>
      <c r="J5" s="28">
        <v>4</v>
      </c>
      <c r="K5" s="12" t="s">
        <v>163</v>
      </c>
      <c r="L5" s="12">
        <v>500</v>
      </c>
      <c r="M5" s="12">
        <v>799</v>
      </c>
      <c r="N5" s="19">
        <f>1.12*(10^-7)</f>
        <v>1.1200000000000001E-7</v>
      </c>
      <c r="O5" s="21">
        <f>2.1952</f>
        <v>2.1951999999999998</v>
      </c>
      <c r="P5" s="21">
        <f>2.7199</f>
        <v>2.7199</v>
      </c>
      <c r="Q5" s="21">
        <f>1.28*(10^-4)</f>
        <v>1.2800000000000002E-4</v>
      </c>
      <c r="R5" s="21">
        <f>2.105*(10^-2)</f>
        <v>2.1049999999999999E-2</v>
      </c>
      <c r="S5" s="21">
        <f>1.801</f>
        <v>1.8009999999999999</v>
      </c>
      <c r="T5" s="29">
        <v>500</v>
      </c>
      <c r="X5" s="28">
        <f>0.40132*(10^-3)</f>
        <v>4.0132000000000004E-4</v>
      </c>
      <c r="Y5" s="12">
        <v>31</v>
      </c>
      <c r="Z5" s="29">
        <v>4291.6000000000004</v>
      </c>
      <c r="AC5" s="28">
        <v>13</v>
      </c>
      <c r="AD5" s="12">
        <f>26.26*(10^-3)</f>
        <v>2.6260000000000002E-2</v>
      </c>
      <c r="AE5" s="186">
        <v>0.19</v>
      </c>
      <c r="AF5" s="193">
        <f t="shared" si="1"/>
        <v>9.5000000000000001E-2</v>
      </c>
    </row>
    <row r="6" spans="1:32" ht="15.75" thickBot="1" x14ac:dyDescent="0.3">
      <c r="A6" s="28">
        <v>5</v>
      </c>
      <c r="B6" s="19">
        <f t="shared" si="0"/>
        <v>1.9653046874999999E-5</v>
      </c>
      <c r="C6" s="12" t="s">
        <v>212</v>
      </c>
      <c r="D6" s="12">
        <v>40.6</v>
      </c>
      <c r="E6" s="12">
        <v>3.3</v>
      </c>
      <c r="F6" s="12">
        <v>12.2</v>
      </c>
      <c r="G6" s="12">
        <v>2.31</v>
      </c>
      <c r="H6" s="29">
        <v>12.8</v>
      </c>
      <c r="J6" s="30">
        <v>5</v>
      </c>
      <c r="K6" s="31" t="s">
        <v>163</v>
      </c>
      <c r="L6" s="31">
        <v>800</v>
      </c>
      <c r="M6" s="31">
        <v>1200</v>
      </c>
      <c r="N6" s="36">
        <f>2.24*(10^-10)</f>
        <v>2.2400000000000003E-10</v>
      </c>
      <c r="O6" s="37">
        <f>2.6105</f>
        <v>2.6105</v>
      </c>
      <c r="P6" s="37">
        <f>2.4977</f>
        <v>2.4977</v>
      </c>
      <c r="Q6" s="37">
        <f>8.17*(10^-5)</f>
        <v>8.1700000000000007E-5</v>
      </c>
      <c r="R6" s="37">
        <f>1.01*(10^-2)</f>
        <v>1.01E-2</v>
      </c>
      <c r="S6" s="37">
        <f>1.152</f>
        <v>1.1519999999999999</v>
      </c>
      <c r="T6" s="32">
        <v>500</v>
      </c>
      <c r="X6" s="28">
        <f>0.5067*(10^-3)</f>
        <v>5.0670000000000001E-4</v>
      </c>
      <c r="Y6" s="12">
        <v>30</v>
      </c>
      <c r="Z6" s="29">
        <v>3402.2</v>
      </c>
      <c r="AC6" s="28">
        <v>14</v>
      </c>
      <c r="AD6" s="12">
        <f>20.02*(10^-3)</f>
        <v>2.002E-2</v>
      </c>
      <c r="AE6" s="186">
        <v>0.17100000000000001</v>
      </c>
      <c r="AF6" s="193">
        <f t="shared" si="1"/>
        <v>8.5500000000000007E-2</v>
      </c>
    </row>
    <row r="7" spans="1:32" ht="15.75" thickBot="1" x14ac:dyDescent="0.3">
      <c r="A7" s="30">
        <v>6</v>
      </c>
      <c r="B7" s="36">
        <f t="shared" si="0"/>
        <v>1.0108000000000002E-5</v>
      </c>
      <c r="C7" s="31" t="s">
        <v>158</v>
      </c>
      <c r="D7" s="31">
        <f>33.3</f>
        <v>33.299999999999997</v>
      </c>
      <c r="E7" s="31">
        <f>2.66</f>
        <v>2.66</v>
      </c>
      <c r="F7" s="31">
        <f>12.6</f>
        <v>12.6</v>
      </c>
      <c r="G7" s="31">
        <f>1.8</f>
        <v>1.8</v>
      </c>
      <c r="H7" s="32">
        <f>12.6</f>
        <v>12.6</v>
      </c>
      <c r="J7" s="24">
        <v>1</v>
      </c>
      <c r="K7" s="25" t="s">
        <v>164</v>
      </c>
      <c r="L7" s="25">
        <v>20</v>
      </c>
      <c r="M7" s="25">
        <v>100</v>
      </c>
      <c r="N7" s="26">
        <v>0</v>
      </c>
      <c r="O7" s="33">
        <v>0</v>
      </c>
      <c r="P7" s="33">
        <v>0</v>
      </c>
      <c r="Q7" s="33">
        <v>0</v>
      </c>
      <c r="R7" s="33">
        <v>0</v>
      </c>
      <c r="S7" s="33">
        <v>0</v>
      </c>
      <c r="T7" s="34">
        <v>0</v>
      </c>
      <c r="X7" s="28">
        <f>0.647*(10^-3)</f>
        <v>6.4700000000000001E-4</v>
      </c>
      <c r="Y7" s="12">
        <v>29</v>
      </c>
      <c r="Z7" s="29">
        <v>2664.3</v>
      </c>
      <c r="AC7" s="28">
        <v>15</v>
      </c>
      <c r="AD7" s="12">
        <f>16.51*(10^-3)</f>
        <v>1.651E-2</v>
      </c>
      <c r="AE7" s="186">
        <v>0.153</v>
      </c>
      <c r="AF7" s="193">
        <f t="shared" si="1"/>
        <v>7.6499999999999999E-2</v>
      </c>
    </row>
    <row r="8" spans="1:32" ht="15" x14ac:dyDescent="0.25">
      <c r="B8" s="18"/>
      <c r="J8" s="28">
        <v>2</v>
      </c>
      <c r="K8" s="12" t="s">
        <v>164</v>
      </c>
      <c r="L8" s="12">
        <v>100</v>
      </c>
      <c r="M8" s="12">
        <v>200</v>
      </c>
      <c r="N8" s="19">
        <v>0</v>
      </c>
      <c r="O8" s="23">
        <v>0</v>
      </c>
      <c r="P8" s="23">
        <v>0</v>
      </c>
      <c r="Q8" s="23">
        <v>0</v>
      </c>
      <c r="R8" s="23">
        <v>0</v>
      </c>
      <c r="S8" s="23">
        <v>0</v>
      </c>
      <c r="T8" s="35">
        <v>0</v>
      </c>
      <c r="X8" s="28">
        <f>0.8046*(10^-3)</f>
        <v>8.0460000000000004E-4</v>
      </c>
      <c r="Y8" s="12">
        <v>28</v>
      </c>
      <c r="Z8" s="29">
        <v>2142.6999999999998</v>
      </c>
      <c r="AC8" s="28">
        <v>16</v>
      </c>
      <c r="AD8" s="12">
        <f>13.07*(10^-3)</f>
        <v>1.307E-2</v>
      </c>
      <c r="AE8" s="186">
        <v>0.13700000000000001</v>
      </c>
      <c r="AF8" s="193">
        <f t="shared" si="1"/>
        <v>6.8500000000000005E-2</v>
      </c>
    </row>
    <row r="9" spans="1:32" ht="15" x14ac:dyDescent="0.25">
      <c r="B9" s="18"/>
      <c r="J9" s="28">
        <v>3</v>
      </c>
      <c r="K9" s="12" t="s">
        <v>164</v>
      </c>
      <c r="L9" s="12">
        <v>200</v>
      </c>
      <c r="M9" s="12">
        <v>400</v>
      </c>
      <c r="N9" s="19">
        <v>0</v>
      </c>
      <c r="O9" s="23">
        <v>0</v>
      </c>
      <c r="P9" s="23">
        <v>0</v>
      </c>
      <c r="Q9" s="23">
        <v>0</v>
      </c>
      <c r="R9" s="23">
        <v>0</v>
      </c>
      <c r="S9" s="23">
        <v>0</v>
      </c>
      <c r="T9" s="35">
        <v>0</v>
      </c>
      <c r="X9" s="28">
        <f>1.021*(10^-3)</f>
        <v>1.021E-3</v>
      </c>
      <c r="Y9" s="12">
        <v>27</v>
      </c>
      <c r="Z9" s="29">
        <v>1681.6</v>
      </c>
      <c r="AC9" s="28">
        <v>17</v>
      </c>
      <c r="AD9" s="12">
        <f>10.39*(10^-3)</f>
        <v>1.039E-2</v>
      </c>
      <c r="AE9" s="186">
        <v>0.122</v>
      </c>
      <c r="AF9" s="193">
        <f t="shared" si="1"/>
        <v>6.0999999999999999E-2</v>
      </c>
    </row>
    <row r="10" spans="1:32" ht="15" x14ac:dyDescent="0.25">
      <c r="B10" s="18"/>
      <c r="J10" s="28">
        <v>4</v>
      </c>
      <c r="K10" s="12" t="s">
        <v>164</v>
      </c>
      <c r="L10" s="12">
        <v>500</v>
      </c>
      <c r="M10" s="12">
        <v>799</v>
      </c>
      <c r="N10" s="19">
        <f>1.12*(10^-7)</f>
        <v>1.1200000000000001E-7</v>
      </c>
      <c r="O10" s="21">
        <f>2.1952</f>
        <v>2.1951999999999998</v>
      </c>
      <c r="P10" s="21">
        <f>2.7199</f>
        <v>2.7199</v>
      </c>
      <c r="Q10" s="21">
        <f>8.9226*(10^-5)</f>
        <v>8.9226000000000003E-5</v>
      </c>
      <c r="R10" s="21">
        <f>1.172*(10^-2)</f>
        <v>1.172E-2</v>
      </c>
      <c r="S10" s="21">
        <f>1.282</f>
        <v>1.282</v>
      </c>
      <c r="T10" s="29">
        <v>520</v>
      </c>
      <c r="X10" s="28">
        <f>1.28*(10^-3)</f>
        <v>1.2800000000000001E-3</v>
      </c>
      <c r="Y10" s="12">
        <v>26</v>
      </c>
      <c r="Z10" s="29">
        <v>1345</v>
      </c>
      <c r="AC10" s="28">
        <v>18</v>
      </c>
      <c r="AD10" s="12">
        <f>8.228*(10^-3)</f>
        <v>8.2279999999999992E-3</v>
      </c>
      <c r="AE10" s="186">
        <v>0.109</v>
      </c>
      <c r="AF10" s="193">
        <f t="shared" si="1"/>
        <v>5.45E-2</v>
      </c>
    </row>
    <row r="11" spans="1:32" ht="15.75" thickBot="1" x14ac:dyDescent="0.3">
      <c r="J11" s="30">
        <v>5</v>
      </c>
      <c r="K11" s="31" t="s">
        <v>164</v>
      </c>
      <c r="L11" s="31">
        <v>800</v>
      </c>
      <c r="M11" s="31">
        <v>1200</v>
      </c>
      <c r="N11" s="36">
        <f>2.24*(10^-10)</f>
        <v>2.2400000000000003E-10</v>
      </c>
      <c r="O11" s="37">
        <f>2.4977</f>
        <v>2.4977</v>
      </c>
      <c r="P11" s="37">
        <f>2.4977</f>
        <v>2.4977</v>
      </c>
      <c r="Q11" s="37">
        <f>6.119*(10^-5)</f>
        <v>6.1190000000000002E-5</v>
      </c>
      <c r="R11" s="37">
        <f>6.142*(10^-3)</f>
        <v>6.1420000000000008E-3</v>
      </c>
      <c r="S11" s="37">
        <f>1.011</f>
        <v>1.0109999999999999</v>
      </c>
      <c r="T11" s="32">
        <v>520</v>
      </c>
      <c r="X11" s="28">
        <f>1.623*(10^-3)</f>
        <v>1.6230000000000001E-3</v>
      </c>
      <c r="Y11" s="12">
        <v>25</v>
      </c>
      <c r="Z11" s="29">
        <v>1062</v>
      </c>
      <c r="AC11" s="28">
        <v>19</v>
      </c>
      <c r="AD11" s="12">
        <f>6.537*(10^-3)</f>
        <v>6.5370000000000003E-3</v>
      </c>
      <c r="AE11" s="186">
        <v>9.4799999999999995E-2</v>
      </c>
      <c r="AF11" s="193">
        <f t="shared" si="1"/>
        <v>4.7399999999999998E-2</v>
      </c>
    </row>
    <row r="12" spans="1:32" ht="15" x14ac:dyDescent="0.25">
      <c r="J12" s="24">
        <v>1</v>
      </c>
      <c r="K12" s="25" t="s">
        <v>214</v>
      </c>
      <c r="L12" s="25">
        <v>20</v>
      </c>
      <c r="M12" s="25">
        <v>100</v>
      </c>
      <c r="N12" s="26">
        <v>26.5</v>
      </c>
      <c r="O12" s="25">
        <v>1.19</v>
      </c>
      <c r="P12" s="25">
        <v>2.65</v>
      </c>
      <c r="Q12" s="25">
        <f>2.68*(10^-4)</f>
        <v>2.6800000000000001E-4</v>
      </c>
      <c r="R12" s="25">
        <f>5.43*(10^-2)</f>
        <v>5.4300000000000001E-2</v>
      </c>
      <c r="S12" s="25">
        <v>3.75</v>
      </c>
      <c r="T12" s="27">
        <v>500</v>
      </c>
      <c r="X12" s="28">
        <f>2.047*(10^-3)</f>
        <v>2.0470000000000002E-3</v>
      </c>
      <c r="Y12" s="12">
        <v>24</v>
      </c>
      <c r="Z12" s="29">
        <v>842.1</v>
      </c>
      <c r="AC12" s="28">
        <v>20</v>
      </c>
      <c r="AD12" s="12">
        <f>5.188*(10^-3)</f>
        <v>5.1879999999999999E-3</v>
      </c>
      <c r="AE12" s="186">
        <v>8.7400000000000005E-2</v>
      </c>
      <c r="AF12" s="193">
        <f t="shared" si="1"/>
        <v>4.3700000000000003E-2</v>
      </c>
    </row>
    <row r="13" spans="1:32" ht="15" x14ac:dyDescent="0.25">
      <c r="J13" s="28">
        <v>2</v>
      </c>
      <c r="K13" s="12" t="s">
        <v>214</v>
      </c>
      <c r="L13" s="12">
        <v>100</v>
      </c>
      <c r="M13" s="12">
        <v>200</v>
      </c>
      <c r="N13" s="19">
        <v>0.34899999999999998</v>
      </c>
      <c r="O13" s="12">
        <v>1.59</v>
      </c>
      <c r="P13" s="12">
        <v>2.6</v>
      </c>
      <c r="Q13" s="12">
        <f>1.51*(10^-4)</f>
        <v>1.5100000000000001E-4</v>
      </c>
      <c r="R13" s="12">
        <f>3.05*(10^-2)</f>
        <v>3.0499999999999999E-2</v>
      </c>
      <c r="S13" s="12">
        <v>2.5499999999999998</v>
      </c>
      <c r="T13" s="29">
        <v>500</v>
      </c>
      <c r="X13" s="28">
        <f>2.508*(10^-3)</f>
        <v>2.5080000000000002E-3</v>
      </c>
      <c r="Y13" s="12">
        <v>23</v>
      </c>
      <c r="Z13" s="29">
        <v>666</v>
      </c>
      <c r="AC13" s="28">
        <v>21</v>
      </c>
      <c r="AD13" s="12">
        <f>4.116*(10^-3)</f>
        <v>4.1159999999999999E-3</v>
      </c>
      <c r="AE13" s="186">
        <v>7.85E-2</v>
      </c>
      <c r="AF13" s="193">
        <f t="shared" si="1"/>
        <v>3.925E-2</v>
      </c>
    </row>
    <row r="14" spans="1:32" ht="15" x14ac:dyDescent="0.25">
      <c r="J14" s="28">
        <v>3</v>
      </c>
      <c r="K14" s="12" t="s">
        <v>214</v>
      </c>
      <c r="L14" s="12">
        <v>200</v>
      </c>
      <c r="M14" s="12">
        <v>400</v>
      </c>
      <c r="N14" s="19">
        <f>1.19*(10^-4)</f>
        <v>1.1900000000000001E-4</v>
      </c>
      <c r="O14" s="12">
        <v>2.2400000000000002</v>
      </c>
      <c r="P14" s="12">
        <v>2.66</v>
      </c>
      <c r="Q14" s="12">
        <f>2.08*(10^-4)</f>
        <v>2.0800000000000001E-4</v>
      </c>
      <c r="R14" s="12">
        <f>4.37*(10^-2)</f>
        <v>4.3700000000000003E-2</v>
      </c>
      <c r="S14" s="12">
        <v>3.29</v>
      </c>
      <c r="T14" s="29">
        <v>500</v>
      </c>
      <c r="X14" s="28">
        <f>3.243*(10^-3)</f>
        <v>3.2429999999999998E-3</v>
      </c>
      <c r="Y14" s="12">
        <v>22</v>
      </c>
      <c r="Z14" s="29">
        <v>531.4</v>
      </c>
      <c r="AC14" s="28">
        <v>22</v>
      </c>
      <c r="AD14" s="12">
        <f>3.243*(10^-3)</f>
        <v>3.2429999999999998E-3</v>
      </c>
      <c r="AE14" s="186">
        <v>7.0099999999999996E-2</v>
      </c>
      <c r="AF14" s="193">
        <f t="shared" si="1"/>
        <v>3.5049999999999998E-2</v>
      </c>
    </row>
    <row r="15" spans="1:32" ht="15" x14ac:dyDescent="0.25">
      <c r="J15" s="28">
        <v>4</v>
      </c>
      <c r="K15" s="12" t="s">
        <v>214</v>
      </c>
      <c r="L15" s="12">
        <v>400</v>
      </c>
      <c r="M15" s="12">
        <v>800</v>
      </c>
      <c r="N15" s="12">
        <v>0</v>
      </c>
      <c r="O15" s="12">
        <v>0</v>
      </c>
      <c r="P15" s="12">
        <v>0</v>
      </c>
      <c r="Q15" s="12">
        <v>0</v>
      </c>
      <c r="R15" s="12">
        <v>0</v>
      </c>
      <c r="S15" s="12">
        <v>0</v>
      </c>
      <c r="T15" s="29">
        <v>0</v>
      </c>
      <c r="X15" s="28">
        <f>4.116*(10^-3)</f>
        <v>4.1159999999999999E-3</v>
      </c>
      <c r="Y15" s="12">
        <v>21</v>
      </c>
      <c r="Z15" s="29">
        <v>418.9</v>
      </c>
      <c r="AC15" s="28">
        <v>23</v>
      </c>
      <c r="AD15" s="12">
        <f>2.508*(10^-3)</f>
        <v>2.5080000000000002E-3</v>
      </c>
      <c r="AE15" s="186">
        <v>6.3200000000000006E-2</v>
      </c>
      <c r="AF15" s="193">
        <f t="shared" si="1"/>
        <v>3.1600000000000003E-2</v>
      </c>
    </row>
    <row r="16" spans="1:32" ht="15.75" thickBot="1" x14ac:dyDescent="0.3">
      <c r="J16" s="30">
        <v>5</v>
      </c>
      <c r="K16" s="31" t="s">
        <v>214</v>
      </c>
      <c r="L16" s="31">
        <v>800</v>
      </c>
      <c r="M16" s="31">
        <v>1200</v>
      </c>
      <c r="N16" s="31">
        <v>0</v>
      </c>
      <c r="O16" s="31">
        <v>0</v>
      </c>
      <c r="P16" s="31">
        <v>0</v>
      </c>
      <c r="Q16" s="31">
        <v>0</v>
      </c>
      <c r="R16" s="31">
        <v>0</v>
      </c>
      <c r="S16" s="31">
        <v>0</v>
      </c>
      <c r="T16" s="32">
        <v>0</v>
      </c>
      <c r="X16" s="28">
        <f>5.188*(10^-3)</f>
        <v>5.1879999999999999E-3</v>
      </c>
      <c r="Y16" s="12">
        <v>20</v>
      </c>
      <c r="Z16" s="29">
        <v>332.3</v>
      </c>
      <c r="AC16" s="28">
        <v>24</v>
      </c>
      <c r="AD16" s="12">
        <f>2.047*(10^-3)</f>
        <v>2.0470000000000002E-3</v>
      </c>
      <c r="AE16" s="186">
        <v>5.6599999999999998E-2</v>
      </c>
      <c r="AF16" s="193">
        <f t="shared" si="1"/>
        <v>2.8299999999999999E-2</v>
      </c>
    </row>
    <row r="17" spans="9:32" ht="15" x14ac:dyDescent="0.25">
      <c r="J17" s="24">
        <v>1</v>
      </c>
      <c r="K17" s="25" t="s">
        <v>215</v>
      </c>
      <c r="L17" s="25">
        <v>20</v>
      </c>
      <c r="M17" s="25">
        <v>100</v>
      </c>
      <c r="N17" s="26">
        <v>5.12</v>
      </c>
      <c r="O17" s="25">
        <v>1.34</v>
      </c>
      <c r="P17" s="25">
        <v>2.66</v>
      </c>
      <c r="Q17" s="25">
        <f>5.48*(10^-4)</f>
        <v>5.4800000000000009E-4</v>
      </c>
      <c r="R17" s="25">
        <f>1.1*(10^-1)</f>
        <v>0.11000000000000001</v>
      </c>
      <c r="S17" s="25">
        <v>6.56</v>
      </c>
      <c r="T17" s="27">
        <v>500</v>
      </c>
      <c r="X17" s="28">
        <f>6.537*(10^-3)</f>
        <v>6.5370000000000003E-3</v>
      </c>
      <c r="Y17" s="12">
        <v>19</v>
      </c>
      <c r="Z17" s="29">
        <v>263.89999999999998</v>
      </c>
      <c r="AC17" s="28">
        <v>25</v>
      </c>
      <c r="AD17" s="12">
        <f>1.623*(10^-3)</f>
        <v>1.6230000000000001E-3</v>
      </c>
      <c r="AE17" s="186">
        <v>5.0500000000000003E-2</v>
      </c>
      <c r="AF17" s="193">
        <f t="shared" si="1"/>
        <v>2.5250000000000002E-2</v>
      </c>
    </row>
    <row r="18" spans="9:32" ht="15" x14ac:dyDescent="0.25">
      <c r="J18" s="28">
        <v>2</v>
      </c>
      <c r="K18" s="12" t="s">
        <v>215</v>
      </c>
      <c r="L18" s="12">
        <v>100</v>
      </c>
      <c r="M18" s="12">
        <v>200</v>
      </c>
      <c r="N18" s="19">
        <f>8.27*(10^-2)</f>
        <v>8.2699999999999996E-2</v>
      </c>
      <c r="O18" s="12">
        <v>1.72</v>
      </c>
      <c r="P18" s="12">
        <v>2.8</v>
      </c>
      <c r="Q18" s="12">
        <f>1.83*(10^-4)</f>
        <v>1.83E-4</v>
      </c>
      <c r="R18" s="12">
        <f>3.66*(10^-2)</f>
        <v>3.6600000000000001E-2</v>
      </c>
      <c r="S18" s="12">
        <v>2.83</v>
      </c>
      <c r="T18" s="29">
        <v>500</v>
      </c>
      <c r="X18" s="28">
        <f>8.228*(10^-3)</f>
        <v>8.2279999999999992E-3</v>
      </c>
      <c r="Y18" s="12">
        <v>18</v>
      </c>
      <c r="Z18" s="29">
        <v>209.5</v>
      </c>
      <c r="AC18" s="28">
        <v>26</v>
      </c>
      <c r="AD18" s="12">
        <f>1.28*(10^-3)</f>
        <v>1.2800000000000001E-3</v>
      </c>
      <c r="AE18" s="186">
        <v>4.5199999999999997E-2</v>
      </c>
      <c r="AF18" s="193">
        <f t="shared" si="1"/>
        <v>2.2599999999999999E-2</v>
      </c>
    </row>
    <row r="19" spans="9:32" ht="15" x14ac:dyDescent="0.25">
      <c r="J19" s="28">
        <v>3</v>
      </c>
      <c r="K19" s="12" t="s">
        <v>215</v>
      </c>
      <c r="L19" s="12">
        <v>200</v>
      </c>
      <c r="M19" s="12">
        <v>400</v>
      </c>
      <c r="N19" s="19">
        <f>9.17*(10^-5)</f>
        <v>9.1700000000000006E-5</v>
      </c>
      <c r="O19" s="12">
        <v>2.2200000000000002</v>
      </c>
      <c r="P19" s="12">
        <v>2.46</v>
      </c>
      <c r="Q19" s="12">
        <f>2.33*(10^-4)</f>
        <v>2.3300000000000003E-4</v>
      </c>
      <c r="R19" s="12">
        <f>4.72*(10^-2)</f>
        <v>4.7199999999999999E-2</v>
      </c>
      <c r="S19" s="12">
        <v>3.39</v>
      </c>
      <c r="T19" s="29">
        <v>500</v>
      </c>
      <c r="X19" s="28">
        <f>10.39*(10^-3)</f>
        <v>1.039E-2</v>
      </c>
      <c r="Y19" s="12">
        <v>17</v>
      </c>
      <c r="Z19" s="29">
        <v>165.8</v>
      </c>
      <c r="AC19" s="28">
        <v>27</v>
      </c>
      <c r="AD19" s="12">
        <f>1.021*(10^-3)</f>
        <v>1.021E-3</v>
      </c>
      <c r="AE19" s="186">
        <v>4.0899999999999999E-2</v>
      </c>
      <c r="AF19" s="193">
        <f t="shared" si="1"/>
        <v>2.0449999999999999E-2</v>
      </c>
    </row>
    <row r="20" spans="9:32" ht="15" x14ac:dyDescent="0.25">
      <c r="J20" s="28">
        <v>4</v>
      </c>
      <c r="K20" s="12" t="s">
        <v>215</v>
      </c>
      <c r="L20" s="12">
        <v>400</v>
      </c>
      <c r="M20" s="12">
        <v>800</v>
      </c>
      <c r="N20" s="12">
        <v>0</v>
      </c>
      <c r="O20" s="12">
        <v>0</v>
      </c>
      <c r="P20" s="12">
        <v>0</v>
      </c>
      <c r="Q20" s="12">
        <v>0</v>
      </c>
      <c r="R20" s="12">
        <v>0</v>
      </c>
      <c r="S20" s="12">
        <v>0</v>
      </c>
      <c r="T20" s="29">
        <v>0</v>
      </c>
      <c r="X20" s="28">
        <f>13.07*(10^-3)</f>
        <v>1.307E-2</v>
      </c>
      <c r="Y20" s="12">
        <v>16</v>
      </c>
      <c r="Z20" s="29">
        <v>131.80000000000001</v>
      </c>
      <c r="AC20" s="28">
        <v>28</v>
      </c>
      <c r="AD20" s="12">
        <f>0.8046*(10^-3)</f>
        <v>8.0460000000000004E-4</v>
      </c>
      <c r="AE20" s="186">
        <v>3.6600000000000001E-2</v>
      </c>
      <c r="AF20" s="193">
        <f t="shared" si="1"/>
        <v>1.83E-2</v>
      </c>
    </row>
    <row r="21" spans="9:32" ht="15.75" thickBot="1" x14ac:dyDescent="0.3">
      <c r="J21" s="30">
        <v>5</v>
      </c>
      <c r="K21" s="31" t="s">
        <v>215</v>
      </c>
      <c r="L21" s="31">
        <v>800</v>
      </c>
      <c r="M21" s="31">
        <v>1200</v>
      </c>
      <c r="N21" s="31">
        <v>0</v>
      </c>
      <c r="O21" s="31">
        <v>0</v>
      </c>
      <c r="P21" s="31">
        <v>0</v>
      </c>
      <c r="Q21" s="31">
        <v>0</v>
      </c>
      <c r="R21" s="31">
        <v>0</v>
      </c>
      <c r="S21" s="31">
        <v>0</v>
      </c>
      <c r="T21" s="32">
        <v>0</v>
      </c>
      <c r="X21" s="28">
        <f>16.51*(10^-3)</f>
        <v>1.651E-2</v>
      </c>
      <c r="Y21" s="12">
        <v>15</v>
      </c>
      <c r="Z21" s="29">
        <v>104.3</v>
      </c>
      <c r="AC21" s="28">
        <v>29</v>
      </c>
      <c r="AD21" s="12">
        <f>0.647*(10^-3)</f>
        <v>6.4700000000000001E-4</v>
      </c>
      <c r="AE21" s="186">
        <v>3.3000000000000002E-2</v>
      </c>
      <c r="AF21" s="193">
        <f t="shared" si="1"/>
        <v>1.6500000000000001E-2</v>
      </c>
    </row>
    <row r="22" spans="9:32" ht="15" x14ac:dyDescent="0.25">
      <c r="N22" s="2"/>
      <c r="X22" s="28">
        <f>20.02*(10^-3)</f>
        <v>2.002E-2</v>
      </c>
      <c r="Y22" s="12">
        <v>14</v>
      </c>
      <c r="Z22" s="29">
        <v>82.8</v>
      </c>
      <c r="AC22" s="28">
        <v>30</v>
      </c>
      <c r="AD22" s="12">
        <f>0.5067*(10^-3)</f>
        <v>5.0670000000000001E-4</v>
      </c>
      <c r="AE22" s="186">
        <v>2.9399999999999999E-2</v>
      </c>
      <c r="AF22" s="193">
        <f t="shared" si="1"/>
        <v>1.47E-2</v>
      </c>
    </row>
    <row r="23" spans="9:32" ht="15.75" thickBot="1" x14ac:dyDescent="0.3">
      <c r="X23" s="28">
        <f>26.26*(10^-3)</f>
        <v>2.6260000000000002E-2</v>
      </c>
      <c r="Y23" s="12">
        <v>13</v>
      </c>
      <c r="Z23" s="29">
        <v>69.64</v>
      </c>
      <c r="AC23" s="28">
        <v>31</v>
      </c>
      <c r="AD23" s="12">
        <f>0.40132*(10^-3)</f>
        <v>4.0132000000000004E-4</v>
      </c>
      <c r="AE23" s="186">
        <v>2.6700000000000002E-2</v>
      </c>
      <c r="AF23" s="193">
        <f t="shared" si="1"/>
        <v>1.3350000000000001E-2</v>
      </c>
    </row>
    <row r="24" spans="9:32" ht="15" x14ac:dyDescent="0.25">
      <c r="L24" s="24" t="s">
        <v>205</v>
      </c>
      <c r="M24" s="25" t="s">
        <v>206</v>
      </c>
      <c r="N24" s="25" t="s">
        <v>198</v>
      </c>
      <c r="O24" s="25" t="s">
        <v>199</v>
      </c>
      <c r="P24" s="25" t="s">
        <v>200</v>
      </c>
      <c r="Q24" s="25" t="s">
        <v>201</v>
      </c>
      <c r="R24" s="25" t="s">
        <v>202</v>
      </c>
      <c r="S24" s="25" t="s">
        <v>203</v>
      </c>
      <c r="T24" s="27" t="s">
        <v>207</v>
      </c>
      <c r="X24" s="28">
        <f>33.08*(10^-3)</f>
        <v>3.3079999999999998E-2</v>
      </c>
      <c r="Y24" s="12">
        <v>12</v>
      </c>
      <c r="Z24" s="29">
        <v>52.09</v>
      </c>
      <c r="AC24" s="28">
        <v>32</v>
      </c>
      <c r="AD24" s="12">
        <f>0.3242*(10^-3)</f>
        <v>3.2420000000000002E-4</v>
      </c>
      <c r="AE24" s="186">
        <v>2.41E-2</v>
      </c>
      <c r="AF24" s="193">
        <f t="shared" si="1"/>
        <v>1.205E-2</v>
      </c>
    </row>
    <row r="25" spans="9:32" ht="15" x14ac:dyDescent="0.25">
      <c r="L25" s="28">
        <f>IF(Fsw_Input&lt;100,1,IF(AND(Fsw_Input&gt;=100,Fsw_Input&lt;200),2,IF(AND(Fsw_Input&gt;=200,Fsw_Input&lt;400),3,IF(AND(Fsw_Input&gt;=400,Fsw_Input&lt;800),4,IF(Fsw_Input&gt;800,5,0)))))</f>
        <v>3</v>
      </c>
      <c r="M25" s="12" t="s">
        <v>163</v>
      </c>
      <c r="N25" s="19">
        <f>VLOOKUP(Freq_Selector,J2:S6,5,FALSE)</f>
        <v>0</v>
      </c>
      <c r="O25" s="12">
        <f>VLOOKUP(Freq_Selector,J2:S6,6,FALSE)</f>
        <v>0</v>
      </c>
      <c r="P25" s="12">
        <f>VLOOKUP(Freq_Selector,J2:S6,7,FALSE)</f>
        <v>0</v>
      </c>
      <c r="Q25" s="12">
        <f>VLOOKUP(Freq_Selector,J2:S6,8,FALSE)</f>
        <v>0</v>
      </c>
      <c r="R25" s="12">
        <f>VLOOKUP(Freq_Selector,J2:S6,9,FALSE)</f>
        <v>0</v>
      </c>
      <c r="S25" s="12">
        <f>VLOOKUP(Freq_Selector,J2:S6,10,FALSE)</f>
        <v>0</v>
      </c>
      <c r="T25" s="29">
        <f>((Ct2_3F35*(100^2))-(Ct1_3F35*100)+Ct_3F35)</f>
        <v>0</v>
      </c>
      <c r="X25" s="28">
        <f>41.6*(10^-3)</f>
        <v>4.1600000000000005E-2</v>
      </c>
      <c r="Y25" s="12">
        <v>11</v>
      </c>
      <c r="Z25" s="29">
        <v>41.37</v>
      </c>
      <c r="AC25" s="28">
        <v>33</v>
      </c>
      <c r="AD25" s="12">
        <f>0.2554*(10^-3)</f>
        <v>2.5540000000000003E-4</v>
      </c>
      <c r="AE25" s="186">
        <v>2.3599999999999999E-2</v>
      </c>
      <c r="AF25" s="193">
        <f t="shared" si="1"/>
        <v>1.18E-2</v>
      </c>
    </row>
    <row r="26" spans="9:32" ht="15.75" thickBot="1" x14ac:dyDescent="0.3">
      <c r="L26" s="28">
        <f>IF(Fsw_Input&lt;100,1,IF(AND(Fsw_Input&gt;=100,Fsw_Input&lt;200),2,IF(AND(Fsw_Input&gt;=200,Fsw_Input&lt;400),3,IF(AND(Fsw_Input&gt;=400,Fsw_Input&lt;800),4,IF(Fsw_Input&gt;800,5,0)))))</f>
        <v>3</v>
      </c>
      <c r="M26" s="12" t="s">
        <v>164</v>
      </c>
      <c r="N26" s="19">
        <f>VLOOKUP(Freq_Selector,J7:S11,5,FALSE)</f>
        <v>0</v>
      </c>
      <c r="O26" s="12">
        <f>VLOOKUP(Freq_Selector,J7:S11,6,FALSE)</f>
        <v>0</v>
      </c>
      <c r="P26" s="12">
        <f>VLOOKUP(Freq_Selector,J7:S11,7,FALSE)</f>
        <v>0</v>
      </c>
      <c r="Q26" s="12">
        <f>VLOOKUP(Freq_Selector,J7:S11,8,FALSE)</f>
        <v>0</v>
      </c>
      <c r="R26" s="12">
        <f>VLOOKUP(Freq_Selector,J7:S11,9,FALSE)</f>
        <v>0</v>
      </c>
      <c r="S26" s="12">
        <f>VLOOKUP(Freq_Selector,J7:S11,10,FALSE)</f>
        <v>0</v>
      </c>
      <c r="T26" s="29">
        <f>((Ct2_3F36*(100^2))-(Ct1_3F36*100)+Ct_3F36)</f>
        <v>0</v>
      </c>
      <c r="X26" s="30">
        <f>52.41*(10^-3)</f>
        <v>5.2409999999999998E-2</v>
      </c>
      <c r="Y26" s="31">
        <v>10</v>
      </c>
      <c r="Z26" s="32">
        <v>32.9</v>
      </c>
      <c r="AC26" s="30">
        <v>34</v>
      </c>
      <c r="AD26" s="31">
        <f>0.2011*(10^-3)</f>
        <v>2.0110000000000001E-4</v>
      </c>
      <c r="AE26" s="194">
        <v>1.9099999999999999E-2</v>
      </c>
      <c r="AF26" s="195">
        <f t="shared" si="1"/>
        <v>9.5499999999999995E-3</v>
      </c>
    </row>
    <row r="27" spans="9:32" ht="15" x14ac:dyDescent="0.25">
      <c r="I27" s="5"/>
      <c r="L27" s="28">
        <f>IF(Fsw_Input&lt;100,1,IF(AND(Fsw_Input&gt;=100,Fsw_Input&lt;200),2,IF(AND(Fsw_Input&gt;=200,Fsw_Input&lt;400),3,IF(AND(Fsw_Input&gt;=400,Fsw_Input&lt;800),4,IF(Fsw_Input&gt;800,5,0)))))</f>
        <v>3</v>
      </c>
      <c r="M27" s="12" t="s">
        <v>214</v>
      </c>
      <c r="N27" s="19">
        <f>VLOOKUP(Freq_Selector,J12:S16,5,FALSE)</f>
        <v>1.1900000000000001E-4</v>
      </c>
      <c r="O27" s="12">
        <f>VLOOKUP(Freq_Selector,J12:S16,6,FALSE)</f>
        <v>2.2400000000000002</v>
      </c>
      <c r="P27" s="12">
        <f>VLOOKUP(Freq_Selector,J12:S16,7,FALSE)</f>
        <v>2.66</v>
      </c>
      <c r="Q27" s="12">
        <f>VLOOKUP(Freq_Selector,J12:S16,8,FALSE)</f>
        <v>2.0800000000000001E-4</v>
      </c>
      <c r="R27" s="12">
        <f>VLOOKUP(Freq_Selector,J12:S16,9,FALSE)</f>
        <v>4.3700000000000003E-2</v>
      </c>
      <c r="S27" s="12">
        <f>VLOOKUP(Freq_Selector,J12:S16,10,FALSE)</f>
        <v>3.29</v>
      </c>
      <c r="T27" s="29">
        <f>((Ct2_3C92*(100^2))-(Ct1_3C92*100)+Ct_3C92)</f>
        <v>1</v>
      </c>
    </row>
    <row r="28" spans="9:32" ht="14.7" thickBot="1" x14ac:dyDescent="0.6">
      <c r="L28" s="30">
        <f>IF(Fsw_Input&lt;100,1,IF(AND(Fsw_Input&gt;=100,Fsw_Input&lt;200),2,IF(AND(Fsw_Input&gt;=200,Fsw_Input&lt;400),3,IF(AND(Fsw_Input&gt;=400,Fsw_Input&lt;800),4,IF(Fsw_Input&gt;800,5,0)))))</f>
        <v>3</v>
      </c>
      <c r="M28" s="31" t="s">
        <v>215</v>
      </c>
      <c r="N28" s="36">
        <f>VLOOKUP(Freq_Selector,J17:S21,5,FALSE)</f>
        <v>9.1700000000000006E-5</v>
      </c>
      <c r="O28" s="31">
        <f>VLOOKUP(Freq_Selector,J17:S21,6,FALSE)</f>
        <v>2.2200000000000002</v>
      </c>
      <c r="P28" s="31">
        <f>VLOOKUP(Freq_Selector,J17:S21,7,FALSE)</f>
        <v>2.46</v>
      </c>
      <c r="Q28" s="31">
        <f>VLOOKUP(Freq_Selector,J17:S21,8,FALSE)</f>
        <v>2.3300000000000003E-4</v>
      </c>
      <c r="R28" s="31">
        <f>VLOOKUP(Freq_Selector,J17:S21,9,FALSE)</f>
        <v>4.7199999999999999E-2</v>
      </c>
      <c r="S28" s="31">
        <f>VLOOKUP(Freq_Selector,J17:S21,10,FALSE)</f>
        <v>3.39</v>
      </c>
      <c r="T28" s="32">
        <f>((Ct2_3C96*(100^2))-(Ct1_3C96*100)+Ct_3C96)</f>
        <v>1.0000000000000004</v>
      </c>
    </row>
  </sheetData>
  <sortState ref="B2:H7">
    <sortCondition descending="1" ref="B2"/>
  </sortState>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
  <sheetViews>
    <sheetView zoomScale="115" zoomScaleNormal="115" workbookViewId="0">
      <pane xSplit="2" topLeftCell="C1" activePane="topRight" state="frozen"/>
      <selection pane="topRight" activeCell="AT27" sqref="AT27"/>
    </sheetView>
  </sheetViews>
  <sheetFormatPr defaultRowHeight="14.4" x14ac:dyDescent="0.55000000000000004"/>
  <cols>
    <col min="15" max="15" width="12" bestFit="1" customWidth="1"/>
    <col min="16" max="16" width="12" style="2" bestFit="1" customWidth="1"/>
    <col min="17" max="18" width="12" style="2" customWidth="1"/>
    <col min="20" max="20" width="9.578125" bestFit="1" customWidth="1"/>
    <col min="23" max="23" width="12" bestFit="1" customWidth="1"/>
    <col min="26" max="26" width="9.68359375" customWidth="1"/>
    <col min="54" max="54" width="10" customWidth="1"/>
    <col min="55" max="56" width="10.83984375" customWidth="1"/>
    <col min="58" max="58" width="10.68359375" customWidth="1"/>
    <col min="64" max="64" width="13.41796875" bestFit="1" customWidth="1"/>
    <col min="65" max="65" width="12.26171875" bestFit="1" customWidth="1"/>
  </cols>
  <sheetData>
    <row r="1" spans="1:65" ht="15" x14ac:dyDescent="0.25">
      <c r="D1" s="525" t="s">
        <v>427</v>
      </c>
      <c r="E1" s="525"/>
      <c r="F1" s="202"/>
      <c r="G1" t="s">
        <v>428</v>
      </c>
      <c r="I1" s="525" t="s">
        <v>491</v>
      </c>
      <c r="J1" s="525"/>
      <c r="K1" s="525"/>
      <c r="L1" s="525"/>
      <c r="M1" s="525"/>
      <c r="N1" s="525"/>
      <c r="O1" s="525"/>
      <c r="P1" s="525"/>
      <c r="Q1" s="525"/>
      <c r="R1" s="525"/>
      <c r="S1" s="11" t="s">
        <v>492</v>
      </c>
      <c r="T1" s="11"/>
      <c r="U1" s="11"/>
      <c r="V1" s="11"/>
      <c r="W1" s="11"/>
      <c r="X1" s="11" t="s">
        <v>493</v>
      </c>
      <c r="Y1" s="11"/>
      <c r="Z1" s="11"/>
      <c r="AA1" s="11"/>
      <c r="AB1" s="11"/>
      <c r="AD1" s="525" t="s">
        <v>494</v>
      </c>
      <c r="AE1" s="525"/>
      <c r="AF1" s="525"/>
      <c r="AG1" s="525"/>
      <c r="AH1" s="525"/>
      <c r="AI1" s="525"/>
      <c r="AJ1" s="525"/>
      <c r="AK1" s="525"/>
      <c r="AL1" s="525"/>
      <c r="AM1" s="525"/>
      <c r="AN1" s="525"/>
      <c r="AO1" s="525"/>
      <c r="AP1" s="525"/>
      <c r="AQ1" s="525"/>
      <c r="AR1" s="525"/>
      <c r="AS1" t="s">
        <v>502</v>
      </c>
      <c r="AT1" s="525" t="s">
        <v>506</v>
      </c>
      <c r="AU1" s="525"/>
      <c r="AV1" t="s">
        <v>509</v>
      </c>
      <c r="AW1" t="s">
        <v>512</v>
      </c>
      <c r="AY1" s="525" t="s">
        <v>521</v>
      </c>
      <c r="AZ1" s="525"/>
      <c r="BA1" s="525"/>
    </row>
    <row r="2" spans="1:65" ht="15" x14ac:dyDescent="0.2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c r="BI2">
        <v>61</v>
      </c>
      <c r="BJ2">
        <v>62</v>
      </c>
      <c r="BK2">
        <v>63</v>
      </c>
    </row>
    <row r="3" spans="1:65" s="14" customFormat="1" ht="57.6" x14ac:dyDescent="0.55000000000000004">
      <c r="A3" s="14" t="s">
        <v>540</v>
      </c>
      <c r="B3" s="14" t="s">
        <v>107</v>
      </c>
      <c r="C3" s="14" t="s">
        <v>276</v>
      </c>
      <c r="D3" s="14" t="s">
        <v>483</v>
      </c>
      <c r="E3" s="14" t="s">
        <v>484</v>
      </c>
      <c r="F3" s="14" t="s">
        <v>535</v>
      </c>
      <c r="G3" s="14" t="s">
        <v>482</v>
      </c>
      <c r="H3" s="14" t="s">
        <v>481</v>
      </c>
      <c r="I3" s="14" t="s">
        <v>479</v>
      </c>
      <c r="J3" s="14" t="s">
        <v>480</v>
      </c>
      <c r="K3" s="14" t="s">
        <v>489</v>
      </c>
      <c r="L3" s="14" t="s">
        <v>111</v>
      </c>
      <c r="M3" s="14" t="s">
        <v>531</v>
      </c>
      <c r="N3" s="14" t="s">
        <v>532</v>
      </c>
      <c r="O3" s="224" t="s">
        <v>488</v>
      </c>
      <c r="P3" s="20" t="s">
        <v>487</v>
      </c>
      <c r="Q3" s="20" t="s">
        <v>496</v>
      </c>
      <c r="R3" s="20" t="s">
        <v>429</v>
      </c>
      <c r="S3" s="14" t="s">
        <v>497</v>
      </c>
      <c r="T3" s="14" t="s">
        <v>430</v>
      </c>
      <c r="U3" s="14" t="s">
        <v>519</v>
      </c>
      <c r="V3" s="14" t="s">
        <v>431</v>
      </c>
      <c r="W3" s="14" t="s">
        <v>585</v>
      </c>
      <c r="X3" s="14" t="s">
        <v>490</v>
      </c>
      <c r="Y3" s="14" t="s">
        <v>536</v>
      </c>
      <c r="Z3" s="14" t="s">
        <v>486</v>
      </c>
      <c r="AA3" s="14" t="s">
        <v>485</v>
      </c>
      <c r="AB3" s="14" t="s">
        <v>112</v>
      </c>
      <c r="AC3" s="14" t="s">
        <v>278</v>
      </c>
      <c r="AD3" s="14" t="s">
        <v>495</v>
      </c>
      <c r="AE3" s="14" t="s">
        <v>498</v>
      </c>
      <c r="AF3" s="14" t="s">
        <v>499</v>
      </c>
      <c r="AG3" s="14" t="s">
        <v>500</v>
      </c>
      <c r="AH3" s="14" t="s">
        <v>505</v>
      </c>
      <c r="AI3" s="14" t="s">
        <v>501</v>
      </c>
      <c r="AJ3" s="14" t="s">
        <v>524</v>
      </c>
      <c r="AK3" s="14" t="s">
        <v>525</v>
      </c>
      <c r="AL3" s="14" t="s">
        <v>533</v>
      </c>
      <c r="AM3" s="14" t="s">
        <v>528</v>
      </c>
      <c r="AN3" s="14" t="s">
        <v>526</v>
      </c>
      <c r="AO3" s="14" t="s">
        <v>527</v>
      </c>
      <c r="AP3" s="14" t="s">
        <v>529</v>
      </c>
      <c r="AQ3" s="14" t="s">
        <v>530</v>
      </c>
      <c r="AR3" s="14" t="s">
        <v>534</v>
      </c>
      <c r="AS3" s="14" t="s">
        <v>504</v>
      </c>
      <c r="AT3" s="14" t="s">
        <v>507</v>
      </c>
      <c r="AU3" s="14" t="s">
        <v>520</v>
      </c>
      <c r="AV3" s="14" t="s">
        <v>510</v>
      </c>
      <c r="AW3" s="220" t="s">
        <v>511</v>
      </c>
      <c r="AX3" s="14" t="s">
        <v>513</v>
      </c>
      <c r="AY3" s="14" t="s">
        <v>503</v>
      </c>
      <c r="AZ3" s="14" t="s">
        <v>523</v>
      </c>
      <c r="BA3" s="14" t="s">
        <v>522</v>
      </c>
      <c r="BB3" s="14" t="s">
        <v>537</v>
      </c>
      <c r="BC3" s="14" t="s">
        <v>538</v>
      </c>
      <c r="BD3" s="14" t="s">
        <v>539</v>
      </c>
      <c r="BE3" s="14" t="s">
        <v>881</v>
      </c>
      <c r="BF3" s="14" t="s">
        <v>656</v>
      </c>
      <c r="BG3" s="14" t="s">
        <v>659</v>
      </c>
      <c r="BH3" s="14" t="s">
        <v>722</v>
      </c>
      <c r="BI3" s="14" t="s">
        <v>884</v>
      </c>
      <c r="BJ3" s="14" t="s">
        <v>882</v>
      </c>
      <c r="BK3" s="14" t="s">
        <v>883</v>
      </c>
      <c r="BL3" s="14" t="s">
        <v>910</v>
      </c>
      <c r="BM3" s="14" t="s">
        <v>911</v>
      </c>
    </row>
    <row r="4" spans="1:65" ht="15" x14ac:dyDescent="0.25">
      <c r="A4">
        <v>1</v>
      </c>
      <c r="B4" t="s">
        <v>108</v>
      </c>
      <c r="C4">
        <v>1</v>
      </c>
      <c r="D4">
        <v>7.5</v>
      </c>
      <c r="E4">
        <v>100</v>
      </c>
      <c r="F4">
        <v>100</v>
      </c>
      <c r="G4">
        <f>IF(C4=1,E4-ABS(VoutPri_FBB),0)</f>
        <v>85</v>
      </c>
      <c r="H4">
        <v>1.2250000000000001</v>
      </c>
      <c r="I4">
        <v>50</v>
      </c>
      <c r="J4">
        <v>1000</v>
      </c>
      <c r="K4">
        <v>1</v>
      </c>
      <c r="L4">
        <f>9*10^-11</f>
        <v>8.9999999999999999E-11</v>
      </c>
      <c r="M4">
        <v>0</v>
      </c>
      <c r="N4" s="2">
        <f>1-(Fsw*P4)</f>
        <v>0.95679999999999998</v>
      </c>
      <c r="O4" s="1">
        <v>0</v>
      </c>
      <c r="P4" s="2">
        <f>144*10^-9</f>
        <v>1.4400000000000002E-7</v>
      </c>
      <c r="Q4" s="218">
        <v>1</v>
      </c>
      <c r="R4" s="2">
        <v>7.6</v>
      </c>
      <c r="S4">
        <v>0</v>
      </c>
      <c r="T4">
        <v>0.8</v>
      </c>
      <c r="U4" s="223">
        <f>20*10^-9</f>
        <v>2E-8</v>
      </c>
      <c r="V4">
        <v>0.45</v>
      </c>
      <c r="W4" s="223">
        <f>20*10^-9</f>
        <v>2E-8</v>
      </c>
      <c r="X4">
        <v>0</v>
      </c>
      <c r="Y4" t="s">
        <v>508</v>
      </c>
      <c r="Z4" s="202" t="s">
        <v>508</v>
      </c>
      <c r="AA4">
        <v>0.7</v>
      </c>
      <c r="AB4">
        <v>1.3</v>
      </c>
      <c r="AD4">
        <v>1</v>
      </c>
      <c r="AE4">
        <v>1</v>
      </c>
      <c r="AF4">
        <v>1</v>
      </c>
      <c r="AG4">
        <v>1</v>
      </c>
      <c r="AH4">
        <v>2</v>
      </c>
      <c r="AI4">
        <v>0</v>
      </c>
      <c r="AJ4">
        <v>0</v>
      </c>
      <c r="AK4">
        <v>0</v>
      </c>
      <c r="AL4">
        <v>0</v>
      </c>
      <c r="AM4">
        <v>0</v>
      </c>
      <c r="AN4">
        <v>0</v>
      </c>
      <c r="AO4">
        <v>0</v>
      </c>
      <c r="AP4">
        <v>0</v>
      </c>
      <c r="AQ4">
        <v>0</v>
      </c>
      <c r="AR4" t="s">
        <v>508</v>
      </c>
      <c r="AS4">
        <v>2</v>
      </c>
      <c r="AT4">
        <v>0</v>
      </c>
      <c r="AU4" t="s">
        <v>508</v>
      </c>
      <c r="AV4">
        <v>1</v>
      </c>
      <c r="AW4">
        <v>1</v>
      </c>
      <c r="AX4">
        <v>1</v>
      </c>
      <c r="AY4">
        <v>0</v>
      </c>
      <c r="AZ4">
        <v>0</v>
      </c>
      <c r="BA4">
        <v>0</v>
      </c>
      <c r="BB4">
        <f t="shared" ref="BB4:BC7" si="0">IF(AND(Vout1&lt;&gt;0,Iout1&lt;&gt;0),1,0)+IF(AND(Vout2&lt;&gt;0,Iout2&lt;&gt;0),1,0)+IF(AND(Vout3&lt;&gt;0,Iout3&lt;&gt;0),1,0)+IF(AND(Vout4&lt;&gt;0,Iout4&lt;&gt;0),1,0)+IF(AND(Vout5&lt;&gt;0,Iout5&lt;&gt;0),1,0)+IF(AND(Vout6&lt;&gt;0,Iout6&lt;&gt;0),1,0)</f>
        <v>1</v>
      </c>
      <c r="BC4">
        <f t="shared" si="0"/>
        <v>1</v>
      </c>
      <c r="BD4">
        <v>1</v>
      </c>
      <c r="BE4">
        <f>SUM(S4,X4,AE4,AF4,AG4,AH4,AJ4,AK4,AM4,AN4,AO4,AP4,AQ4,AS4,AT4,AV4,AW4,AX4,AY4,AZ4,BA4,BB4,BC4,Q4,K4,BD4)</f>
        <v>15</v>
      </c>
      <c r="BI4">
        <f t="shared" ref="BI4:BI12" si="1">(K4*$BF$24)+(Q4*$BF$23)+(S4*$BF$28)+(X4*$BF$24)+(AE4*$BF$23)+(AF4*$BF$23)+(AG4*$BF$23)+(AH4*$BF$24)+(AV4*$BF$23)+(AY4*$BF$24)+(AZ4*$BF$23)+(BA4*$BF$27)+(BB4*$BF$27)+(BC4*$BF$22)+(BD4*$BF$25)+(AT4*$BF$23)+(AS4*$BF$24)+BI22</f>
        <v>4.0162500000000003</v>
      </c>
      <c r="BK4">
        <f>(K4*$BF$24)+(Q4*$BF$23)+(S4*$BF428)+(X4*$BF$24)+(AE4*$BF$23)+(AF4*$BF$23)+(AV4*$BF$23)+(AY4*$BF$24)+(AZ4*$BF$23)+(BA4*$BF$27)+(BB4*$BF$27)+(BC4*$BF$22)+(BD4*$BF$25)+(AT4*$BF$23)+(AS4*$BF$24)+BI22</f>
        <v>3.8162500000000001</v>
      </c>
      <c r="BL4">
        <f>25*10^-9</f>
        <v>2.5000000000000002E-8</v>
      </c>
      <c r="BM4">
        <f>20*10^-9</f>
        <v>2E-8</v>
      </c>
    </row>
    <row r="5" spans="1:65" ht="15" x14ac:dyDescent="0.25">
      <c r="A5">
        <v>2</v>
      </c>
      <c r="B5" t="s">
        <v>109</v>
      </c>
      <c r="C5">
        <v>1</v>
      </c>
      <c r="D5">
        <v>7.5</v>
      </c>
      <c r="E5">
        <v>100</v>
      </c>
      <c r="F5">
        <v>100</v>
      </c>
      <c r="G5">
        <f>IF(C5=1,E5-ABS(VoutPri_FBB),0)</f>
        <v>85</v>
      </c>
      <c r="H5">
        <v>1.2250000000000001</v>
      </c>
      <c r="I5">
        <v>50</v>
      </c>
      <c r="J5">
        <v>1000</v>
      </c>
      <c r="K5">
        <v>1</v>
      </c>
      <c r="L5">
        <f>9*10^-11</f>
        <v>8.9999999999999999E-11</v>
      </c>
      <c r="M5">
        <v>0</v>
      </c>
      <c r="N5" s="2">
        <f>1-(Fsw*P5)</f>
        <v>0.95679999999999998</v>
      </c>
      <c r="O5" s="1">
        <v>0</v>
      </c>
      <c r="P5" s="2">
        <f>144*10^-9</f>
        <v>1.4400000000000002E-7</v>
      </c>
      <c r="Q5" s="218">
        <v>1</v>
      </c>
      <c r="R5" s="2">
        <v>7.6</v>
      </c>
      <c r="S5">
        <v>0</v>
      </c>
      <c r="T5">
        <v>0.8</v>
      </c>
      <c r="U5" s="223">
        <f>20*10^-9</f>
        <v>2E-8</v>
      </c>
      <c r="V5">
        <v>0.45</v>
      </c>
      <c r="W5" s="223">
        <f>20*10^-9</f>
        <v>2E-8</v>
      </c>
      <c r="X5">
        <v>0</v>
      </c>
      <c r="Y5" t="s">
        <v>508</v>
      </c>
      <c r="Z5" s="202" t="s">
        <v>508</v>
      </c>
      <c r="AA5">
        <v>0.39</v>
      </c>
      <c r="AB5">
        <v>0.75</v>
      </c>
      <c r="AD5">
        <v>1</v>
      </c>
      <c r="AE5">
        <v>1</v>
      </c>
      <c r="AF5">
        <v>1</v>
      </c>
      <c r="AG5">
        <v>1</v>
      </c>
      <c r="AH5">
        <v>2</v>
      </c>
      <c r="AI5">
        <v>0</v>
      </c>
      <c r="AJ5">
        <v>0</v>
      </c>
      <c r="AK5">
        <v>0</v>
      </c>
      <c r="AL5">
        <v>0</v>
      </c>
      <c r="AM5">
        <v>0</v>
      </c>
      <c r="AN5">
        <v>0</v>
      </c>
      <c r="AO5">
        <v>0</v>
      </c>
      <c r="AP5">
        <v>0</v>
      </c>
      <c r="AQ5">
        <v>0</v>
      </c>
      <c r="AR5" t="s">
        <v>508</v>
      </c>
      <c r="AS5">
        <v>2</v>
      </c>
      <c r="AT5">
        <v>0</v>
      </c>
      <c r="AU5" t="s">
        <v>508</v>
      </c>
      <c r="AV5">
        <v>1</v>
      </c>
      <c r="AW5">
        <v>1</v>
      </c>
      <c r="AX5">
        <v>1</v>
      </c>
      <c r="AY5">
        <v>0</v>
      </c>
      <c r="AZ5">
        <v>0</v>
      </c>
      <c r="BA5">
        <v>0</v>
      </c>
      <c r="BB5">
        <f t="shared" si="0"/>
        <v>1</v>
      </c>
      <c r="BC5">
        <f t="shared" si="0"/>
        <v>1</v>
      </c>
      <c r="BD5">
        <v>1</v>
      </c>
      <c r="BE5">
        <f>SUM(S5,X5,AE5,AF5,AG5,AH5,AJ5,AK5,AM5,AN5,AO5,AP5,AQ5,AS5,AT5,AV5,AW5,AX5,AY5,AZ5,BA5,BB5,BC5,Q5,K5,BD5)</f>
        <v>15</v>
      </c>
      <c r="BI5">
        <f t="shared" si="1"/>
        <v>3.8250000000000002</v>
      </c>
      <c r="BK5">
        <f>(K5*$BF$24)+(Q5*$BF$23)+(S5*$BF429)+(X5*$BF$24)+(AE5*$BF$23)+(AF5*$BF$23)+(AV5*$BF$23)+(AY5*$BF$24)+(AZ5*$BF$23)+(BA5*$BF$27)+(BB5*$BF$27)+(BC5*$BF$22)+(BD5*$BF$25)+(AT5*$BF$23)+(AS5*$BF$24)+BI23</f>
        <v>3.625</v>
      </c>
      <c r="BL5">
        <f>25*10^-9</f>
        <v>2.5000000000000002E-8</v>
      </c>
      <c r="BM5">
        <f>20*10^-9</f>
        <v>2E-8</v>
      </c>
    </row>
    <row r="6" spans="1:65" ht="15" x14ac:dyDescent="0.25">
      <c r="A6">
        <v>3</v>
      </c>
      <c r="B6" t="s">
        <v>110</v>
      </c>
      <c r="C6">
        <v>1</v>
      </c>
      <c r="D6">
        <v>7.5</v>
      </c>
      <c r="E6">
        <v>100</v>
      </c>
      <c r="F6">
        <v>100</v>
      </c>
      <c r="G6">
        <f>IF(C6=1,E6-ABS(VoutPri_FBB),0)</f>
        <v>85</v>
      </c>
      <c r="H6">
        <v>1.2250000000000001</v>
      </c>
      <c r="I6">
        <v>50</v>
      </c>
      <c r="J6">
        <v>1000</v>
      </c>
      <c r="K6">
        <v>1</v>
      </c>
      <c r="L6">
        <f>9*10^-11</f>
        <v>8.9999999999999999E-11</v>
      </c>
      <c r="M6">
        <v>0</v>
      </c>
      <c r="N6" s="2">
        <f>1-(Fsw*P6)</f>
        <v>0.95679999999999998</v>
      </c>
      <c r="O6" s="1">
        <v>0</v>
      </c>
      <c r="P6" s="2">
        <f>144*10^-9</f>
        <v>1.4400000000000002E-7</v>
      </c>
      <c r="Q6" s="218">
        <v>1</v>
      </c>
      <c r="R6" s="2">
        <v>7.6</v>
      </c>
      <c r="S6">
        <v>0</v>
      </c>
      <c r="T6">
        <v>0.8</v>
      </c>
      <c r="U6" s="223">
        <f>20*10^-9</f>
        <v>2E-8</v>
      </c>
      <c r="V6">
        <v>0.45</v>
      </c>
      <c r="W6" s="223">
        <f>20*10^-9</f>
        <v>2E-8</v>
      </c>
      <c r="X6">
        <v>0</v>
      </c>
      <c r="Y6" t="s">
        <v>508</v>
      </c>
      <c r="Z6" s="202" t="s">
        <v>508</v>
      </c>
      <c r="AA6">
        <v>0.15</v>
      </c>
      <c r="AB6">
        <v>0.3</v>
      </c>
      <c r="AD6">
        <v>1</v>
      </c>
      <c r="AE6">
        <v>1</v>
      </c>
      <c r="AF6">
        <v>1</v>
      </c>
      <c r="AG6">
        <v>1</v>
      </c>
      <c r="AH6">
        <v>2</v>
      </c>
      <c r="AI6">
        <v>0</v>
      </c>
      <c r="AJ6">
        <v>0</v>
      </c>
      <c r="AK6">
        <v>0</v>
      </c>
      <c r="AL6">
        <v>0</v>
      </c>
      <c r="AM6">
        <v>0</v>
      </c>
      <c r="AN6">
        <v>0</v>
      </c>
      <c r="AO6">
        <v>0</v>
      </c>
      <c r="AP6">
        <v>0</v>
      </c>
      <c r="AQ6">
        <v>0</v>
      </c>
      <c r="AR6" t="s">
        <v>508</v>
      </c>
      <c r="AS6">
        <v>2</v>
      </c>
      <c r="AT6">
        <v>0</v>
      </c>
      <c r="AU6" t="s">
        <v>508</v>
      </c>
      <c r="AV6">
        <v>1</v>
      </c>
      <c r="AW6">
        <v>1</v>
      </c>
      <c r="AX6">
        <v>1</v>
      </c>
      <c r="AY6">
        <v>0</v>
      </c>
      <c r="AZ6">
        <v>0</v>
      </c>
      <c r="BA6">
        <v>0</v>
      </c>
      <c r="BB6">
        <f t="shared" si="0"/>
        <v>1</v>
      </c>
      <c r="BC6">
        <f t="shared" si="0"/>
        <v>1</v>
      </c>
      <c r="BD6">
        <v>1</v>
      </c>
      <c r="BE6">
        <f>SUM(S6,X6,AE6,AF6,AG6,AH6,AJ6,AK6,AM6,AN6,AO6,AP6,AQ6,AS6,AT6,AV6,AW6,AX6,AY6,AZ6,BA6,BB6,BC6,Q6,K6,BD6)</f>
        <v>15</v>
      </c>
      <c r="BI6">
        <f t="shared" si="1"/>
        <v>3.65625</v>
      </c>
      <c r="BK6">
        <f>(K6*$BF$24)+(Q6*$BF$23)+(S6*$BF430)+(X6*$BF$24)+(AE6*$BF$23)+(AF6*$BF$23)+(AV6*$BF$23)+(AY6*$BF$24)+(AZ6*$BF$23)+(BA6*$BF$27)+(BB6*$BF$27)+(BC6*$BF$22)+(BD6*$BF$25)+(AT6*$BF$23)+(AS6*$BF$24)+BI24</f>
        <v>3.4562499999999998</v>
      </c>
      <c r="BL6">
        <f>25*10^-9</f>
        <v>2.5000000000000002E-8</v>
      </c>
      <c r="BM6">
        <f>20*10^-9</f>
        <v>2E-8</v>
      </c>
    </row>
    <row r="7" spans="1:65" ht="15" x14ac:dyDescent="0.25">
      <c r="A7">
        <v>4</v>
      </c>
      <c r="B7" t="s">
        <v>514</v>
      </c>
      <c r="C7">
        <v>1</v>
      </c>
      <c r="D7">
        <v>4.5</v>
      </c>
      <c r="E7">
        <v>65</v>
      </c>
      <c r="F7">
        <v>70</v>
      </c>
      <c r="G7">
        <f>IF(C7=1,E7-ABS(VoutPri_FBB),0)</f>
        <v>50</v>
      </c>
      <c r="H7">
        <v>2</v>
      </c>
      <c r="I7">
        <v>50</v>
      </c>
      <c r="J7">
        <v>1000</v>
      </c>
      <c r="K7">
        <v>1</v>
      </c>
      <c r="L7">
        <f>9*10^-11</f>
        <v>8.9999999999999999E-11</v>
      </c>
      <c r="M7">
        <v>0</v>
      </c>
      <c r="N7" s="2">
        <f>1-(Fsw*P7)</f>
        <v>0.94899999999999995</v>
      </c>
      <c r="O7" s="1">
        <v>0</v>
      </c>
      <c r="P7" s="2">
        <f>170*10^-9</f>
        <v>1.7000000000000001E-7</v>
      </c>
      <c r="Q7" s="218">
        <v>1</v>
      </c>
      <c r="R7" s="2">
        <v>7.5</v>
      </c>
      <c r="S7">
        <v>0</v>
      </c>
      <c r="T7">
        <v>0.28999999999999998</v>
      </c>
      <c r="U7" s="223">
        <f>20*10^-9</f>
        <v>2E-8</v>
      </c>
      <c r="V7">
        <v>0.13</v>
      </c>
      <c r="W7" s="223">
        <f>20*10^-9</f>
        <v>2E-8</v>
      </c>
      <c r="X7">
        <v>0</v>
      </c>
      <c r="Y7" t="s">
        <v>508</v>
      </c>
      <c r="Z7" s="202" t="s">
        <v>508</v>
      </c>
      <c r="AA7">
        <v>1.9</v>
      </c>
      <c r="AB7">
        <v>2.5</v>
      </c>
      <c r="AD7">
        <v>1</v>
      </c>
      <c r="AE7">
        <v>1</v>
      </c>
      <c r="AF7">
        <v>1</v>
      </c>
      <c r="AG7">
        <v>1</v>
      </c>
      <c r="AH7">
        <v>2</v>
      </c>
      <c r="AI7">
        <v>0</v>
      </c>
      <c r="AJ7">
        <v>0</v>
      </c>
      <c r="AK7">
        <v>0</v>
      </c>
      <c r="AL7">
        <v>0</v>
      </c>
      <c r="AM7">
        <v>0</v>
      </c>
      <c r="AN7">
        <v>0</v>
      </c>
      <c r="AO7">
        <v>0</v>
      </c>
      <c r="AP7">
        <v>0</v>
      </c>
      <c r="AQ7">
        <v>0</v>
      </c>
      <c r="AR7" t="s">
        <v>508</v>
      </c>
      <c r="AS7">
        <v>2</v>
      </c>
      <c r="AT7">
        <v>1</v>
      </c>
      <c r="AU7" s="217">
        <f>10*10^-6</f>
        <v>9.9999999999999991E-6</v>
      </c>
      <c r="AV7">
        <v>1</v>
      </c>
      <c r="AW7">
        <v>1</v>
      </c>
      <c r="AX7">
        <v>1</v>
      </c>
      <c r="AY7">
        <v>0</v>
      </c>
      <c r="AZ7">
        <v>0</v>
      </c>
      <c r="BA7">
        <v>0</v>
      </c>
      <c r="BB7">
        <f t="shared" si="0"/>
        <v>1</v>
      </c>
      <c r="BC7">
        <f t="shared" si="0"/>
        <v>1</v>
      </c>
      <c r="BD7">
        <v>1</v>
      </c>
      <c r="BE7">
        <f>SUM(S7,X7,AE7,AF7,AG7,AH7,AJ7,AK7,AM7,AN7,AO7,AP7,AQ7,AS7,AT7,AV7,AW7,AX7,AY7,AZ7,BA7,BB7,BC7,Q7,K7,BD7)</f>
        <v>16</v>
      </c>
      <c r="BI7">
        <f t="shared" si="1"/>
        <v>4.6180000000000003</v>
      </c>
      <c r="BK7">
        <f>(K7*$BF$24)+(Q7*$BF$23)+(S7*$BF431)+(X7*$BF$24)+(AE7*$BF$23)+(AF7*$BF$23)+(AV7*$BF$23)+(AY7*$BF$24)+(AZ7*$BF$23)+(BA7*$BF$27)+(BB7*$BF$27)+(BC7*$BF$22)+(BD7*$BF$25)+(AT7*$BF$23)+(AS7*$BF$24)+BI25</f>
        <v>4.4179999999999993</v>
      </c>
      <c r="BL7">
        <f>25*10^-9</f>
        <v>2.5000000000000002E-8</v>
      </c>
      <c r="BM7">
        <f>20*10^-9</f>
        <v>2E-8</v>
      </c>
    </row>
    <row r="8" spans="1:65" ht="15" x14ac:dyDescent="0.25">
      <c r="A8">
        <v>5</v>
      </c>
      <c r="B8" t="s">
        <v>277</v>
      </c>
      <c r="C8">
        <v>2</v>
      </c>
      <c r="D8">
        <v>10</v>
      </c>
      <c r="E8">
        <v>100</v>
      </c>
      <c r="F8" s="202" t="s">
        <v>508</v>
      </c>
      <c r="G8" s="202" t="s">
        <v>508</v>
      </c>
      <c r="H8">
        <v>1.25</v>
      </c>
      <c r="I8">
        <v>50</v>
      </c>
      <c r="J8">
        <v>1000</v>
      </c>
      <c r="K8">
        <v>1</v>
      </c>
      <c r="L8">
        <v>0</v>
      </c>
      <c r="M8">
        <v>0</v>
      </c>
      <c r="N8">
        <v>75</v>
      </c>
      <c r="O8" s="1">
        <v>0</v>
      </c>
      <c r="P8" s="2">
        <v>0</v>
      </c>
      <c r="Q8" s="218">
        <v>1</v>
      </c>
      <c r="R8" s="2">
        <v>7.7</v>
      </c>
      <c r="S8">
        <v>1</v>
      </c>
      <c r="T8" s="221" t="s">
        <v>508</v>
      </c>
      <c r="U8" s="202" t="s">
        <v>508</v>
      </c>
      <c r="V8" s="219">
        <f>'Flyback CCM'!B74/(1000)</f>
        <v>3.8E-3</v>
      </c>
      <c r="W8" s="223">
        <f>'Flyback CCM'!B75/(10^9)</f>
        <v>4.8E-8</v>
      </c>
      <c r="X8">
        <v>1</v>
      </c>
      <c r="Y8" s="219">
        <f>'Flyback CCM'!$B$69/1000</f>
        <v>0.08</v>
      </c>
      <c r="Z8">
        <v>0.5</v>
      </c>
      <c r="AA8" s="202" t="s">
        <v>508</v>
      </c>
      <c r="AB8" s="202" t="s">
        <v>508</v>
      </c>
      <c r="AC8" s="202" t="s">
        <v>508</v>
      </c>
      <c r="AD8">
        <v>2</v>
      </c>
      <c r="AE8">
        <v>1</v>
      </c>
      <c r="AF8">
        <v>1</v>
      </c>
      <c r="AG8">
        <v>1</v>
      </c>
      <c r="AH8">
        <v>2</v>
      </c>
      <c r="AI8">
        <v>1</v>
      </c>
      <c r="AJ8">
        <v>1</v>
      </c>
      <c r="AK8">
        <v>0</v>
      </c>
      <c r="AL8">
        <v>5000</v>
      </c>
      <c r="AM8">
        <v>1</v>
      </c>
      <c r="AN8">
        <v>1</v>
      </c>
      <c r="AO8">
        <v>1</v>
      </c>
      <c r="AP8">
        <v>1</v>
      </c>
      <c r="AQ8">
        <v>1</v>
      </c>
      <c r="AR8">
        <v>0.105</v>
      </c>
      <c r="AS8">
        <v>2</v>
      </c>
      <c r="AT8">
        <v>1</v>
      </c>
      <c r="AU8" s="217">
        <f>10*10^-6</f>
        <v>9.9999999999999991E-6</v>
      </c>
      <c r="AV8">
        <v>0</v>
      </c>
      <c r="AW8">
        <v>1</v>
      </c>
      <c r="AX8">
        <v>0</v>
      </c>
      <c r="AY8">
        <v>1</v>
      </c>
      <c r="AZ8">
        <v>1</v>
      </c>
      <c r="BA8">
        <v>1</v>
      </c>
      <c r="BB8">
        <f t="shared" ref="BB8:BC17" si="2">IF(AND(Vout1&lt;&gt;0,Iout1&lt;&gt;0),1,0)+IF(AND(Vout2&lt;&gt;0,Iout2&lt;&gt;0),1,0)+IF(AND(Vout3&lt;&gt;0,Iout3&lt;&gt;0),1,0)+IF(AND(Vout4&lt;&gt;0,Iout4&lt;&gt;0),1,0)+IF(AND(Vout5&lt;&gt;0,Iout5&lt;&gt;0),1,0)+IF(AND(Vout6&lt;&gt;0,Iout6&lt;&gt;0),1,0)+IF(AND(VOUTAUX&lt;&gt;0,IoutAux&lt;&gt;0),1,0)</f>
        <v>1</v>
      </c>
      <c r="BC8">
        <f t="shared" si="2"/>
        <v>1</v>
      </c>
      <c r="BD8">
        <v>1</v>
      </c>
      <c r="BE8" s="219">
        <f>SUM(S8,X8,AE8,AF8,AG8,AH8,AS8,AT8,AV8,AW8,AX8,AY8,AZ8,BA8,BB8,BC8,Q8,K8,BD8)</f>
        <v>19</v>
      </c>
      <c r="BF8">
        <v>1</v>
      </c>
      <c r="BG8">
        <f>BF8*Y8</f>
        <v>0.08</v>
      </c>
      <c r="BH8">
        <v>5</v>
      </c>
      <c r="BI8">
        <f t="shared" si="1"/>
        <v>4.1500000000000004</v>
      </c>
      <c r="BJ8">
        <f>SUM(S8,X8,AH8,AJ8,AK8,AM8,AN8,AO8,AP8,AQ8,AS8,AT8,AV8,AW8,AX8,AY8,AZ8,BA8,BB8,BC8,Q8,K8,BD8)</f>
        <v>22</v>
      </c>
      <c r="BK8">
        <f>(K8*$BF$24)+(Q8*$BF$23)+(S8*$BF$28)+(X8*$BF$24)+(AH8*$BF$24)+(AJ8*$BF$29)+(AK8*$BF$24)+(AM8*$BF$23)+(AN8*$BF$24)+(AO8*$BF$24)+(AQ8*$BF$30)+(AP8*$BF$23)+(AV8*$BF$23)+(AY8*$BF$24)+(AZ8*$BF$23)+(BA8*$BF$27)+(BB8*$BF$27)+(BC8*$BF$22)+(BD8*$BF$25)+(AT8*$BF$23)+(AS8*$BF$24)+BI26</f>
        <v>4.370000000000001</v>
      </c>
      <c r="BL8">
        <v>0</v>
      </c>
      <c r="BM8">
        <v>0</v>
      </c>
    </row>
    <row r="9" spans="1:65" ht="15" x14ac:dyDescent="0.25">
      <c r="A9">
        <v>6</v>
      </c>
      <c r="B9" t="s">
        <v>424</v>
      </c>
      <c r="C9">
        <v>2</v>
      </c>
      <c r="D9">
        <v>8</v>
      </c>
      <c r="E9">
        <v>30</v>
      </c>
      <c r="F9" s="202" t="s">
        <v>508</v>
      </c>
      <c r="G9" s="202" t="s">
        <v>508</v>
      </c>
      <c r="H9">
        <v>0</v>
      </c>
      <c r="I9">
        <v>50</v>
      </c>
      <c r="J9">
        <v>1000</v>
      </c>
      <c r="K9">
        <v>1</v>
      </c>
      <c r="L9">
        <v>0</v>
      </c>
      <c r="M9">
        <v>0</v>
      </c>
      <c r="N9">
        <v>75</v>
      </c>
      <c r="O9" s="1">
        <v>0</v>
      </c>
      <c r="P9" s="2">
        <v>0</v>
      </c>
      <c r="Q9" s="218">
        <v>1</v>
      </c>
      <c r="R9" s="2">
        <v>7</v>
      </c>
      <c r="S9">
        <v>1</v>
      </c>
      <c r="T9" s="221" t="s">
        <v>508</v>
      </c>
      <c r="U9" s="202" t="s">
        <v>508</v>
      </c>
      <c r="V9" s="219">
        <f>'Flyback CCM'!B74/(1000)</f>
        <v>3.8E-3</v>
      </c>
      <c r="W9" s="223">
        <f>'Flyback CCM'!B75/(10^9)</f>
        <v>4.8E-8</v>
      </c>
      <c r="X9">
        <v>1</v>
      </c>
      <c r="Y9" s="219">
        <f>'Flyback CCM'!$B$69/1000</f>
        <v>0.08</v>
      </c>
      <c r="Z9">
        <v>0.5</v>
      </c>
      <c r="AA9" s="202" t="s">
        <v>508</v>
      </c>
      <c r="AB9" s="202" t="s">
        <v>508</v>
      </c>
      <c r="AC9" s="202" t="s">
        <v>508</v>
      </c>
      <c r="AD9">
        <v>3</v>
      </c>
      <c r="AE9" s="225">
        <v>0</v>
      </c>
      <c r="AF9" s="225">
        <v>0</v>
      </c>
      <c r="AG9" s="225">
        <v>0</v>
      </c>
      <c r="AH9">
        <v>2</v>
      </c>
      <c r="AI9">
        <v>1</v>
      </c>
      <c r="AJ9">
        <v>1</v>
      </c>
      <c r="AK9">
        <v>0</v>
      </c>
      <c r="AL9">
        <v>5000</v>
      </c>
      <c r="AM9">
        <v>1</v>
      </c>
      <c r="AN9">
        <v>1</v>
      </c>
      <c r="AO9">
        <v>1</v>
      </c>
      <c r="AP9">
        <v>1</v>
      </c>
      <c r="AQ9">
        <v>1</v>
      </c>
      <c r="AR9">
        <v>0.09</v>
      </c>
      <c r="AS9">
        <v>2</v>
      </c>
      <c r="AT9">
        <v>1</v>
      </c>
      <c r="AU9" s="217">
        <f>10*10^-6</f>
        <v>9.9999999999999991E-6</v>
      </c>
      <c r="AV9">
        <v>0</v>
      </c>
      <c r="AW9">
        <v>1</v>
      </c>
      <c r="AX9">
        <v>0</v>
      </c>
      <c r="AY9">
        <v>1</v>
      </c>
      <c r="AZ9">
        <v>1</v>
      </c>
      <c r="BA9">
        <v>1</v>
      </c>
      <c r="BB9">
        <f t="shared" si="2"/>
        <v>1</v>
      </c>
      <c r="BC9">
        <f t="shared" si="2"/>
        <v>1</v>
      </c>
      <c r="BD9">
        <v>1</v>
      </c>
      <c r="BE9" s="219">
        <f t="shared" ref="BE9:BE16" si="3">SUM(S9,X9,AE9,AF9,AG9,AH9,AS9,AT9,AV9,AW9,AX9,AY9,AZ9,BA9,BB9,BC9,Q9,K9,BD9)</f>
        <v>16</v>
      </c>
      <c r="BF9">
        <v>1</v>
      </c>
      <c r="BG9">
        <f t="shared" ref="BG9:BG16" si="4">BF9*Y9</f>
        <v>0.08</v>
      </c>
      <c r="BH9">
        <v>5.2</v>
      </c>
      <c r="BI9">
        <f t="shared" si="1"/>
        <v>3.5129999999999999</v>
      </c>
      <c r="BJ9">
        <f t="shared" ref="BJ9:BJ16" si="5">SUM(S9,X9,AH9,AJ9,AK9,AM9,AN9,AO9,AP9,AQ9,AS9,AT9,AV9,AW9,AX9,AY9,AZ9,BA9,BB9,BC9,Q9,K9,BD9)</f>
        <v>22</v>
      </c>
      <c r="BK9">
        <f>(K9*$BF$24)+(Q9*$BF$23)+(S9*$BF$28)+(X9*$BF$24)+(AH9*$BF$24)+(AJ9*$BF$29)+(AK9*$BF$24)+(AM9*$BF$23)+(AN9*$BF$24)+(AO9*$BF$24)+(AQ9*$BF$30)+(AP9*$BF$23)+(AV9*$BF$23)+(AY9*$BF$24)+(AZ9*$BF$23)+(BA9*$BF$27)+(BB9*$BF$27)+(BC9*$BF$22)+(BD9*$BF$25)+(AT9*$BF$23)+(AS9*$BF$24)+BI27</f>
        <v>4.0330000000000004</v>
      </c>
      <c r="BL9">
        <v>0</v>
      </c>
      <c r="BM9">
        <v>0</v>
      </c>
    </row>
    <row r="10" spans="1:65" ht="15" x14ac:dyDescent="0.25">
      <c r="A10">
        <v>7</v>
      </c>
      <c r="B10" t="s">
        <v>425</v>
      </c>
      <c r="C10">
        <v>2</v>
      </c>
      <c r="D10">
        <v>6</v>
      </c>
      <c r="E10">
        <v>65</v>
      </c>
      <c r="F10" s="202" t="s">
        <v>508</v>
      </c>
      <c r="G10" s="202" t="s">
        <v>508</v>
      </c>
      <c r="H10">
        <v>1.25</v>
      </c>
      <c r="I10">
        <v>50</v>
      </c>
      <c r="J10">
        <v>2000</v>
      </c>
      <c r="K10">
        <v>1</v>
      </c>
      <c r="L10">
        <v>0</v>
      </c>
      <c r="M10">
        <v>0</v>
      </c>
      <c r="N10">
        <v>90</v>
      </c>
      <c r="O10" s="1">
        <v>0</v>
      </c>
      <c r="P10" s="2">
        <v>0</v>
      </c>
      <c r="Q10" s="218">
        <v>1</v>
      </c>
      <c r="R10" s="2">
        <v>7</v>
      </c>
      <c r="S10">
        <v>1</v>
      </c>
      <c r="T10" s="221" t="s">
        <v>508</v>
      </c>
      <c r="U10" s="202" t="s">
        <v>508</v>
      </c>
      <c r="V10" s="219">
        <f>'Flyback CCM'!B74/(1000)</f>
        <v>3.8E-3</v>
      </c>
      <c r="W10" s="223">
        <f>'Flyback CCM'!B75/(10^9)</f>
        <v>4.8E-8</v>
      </c>
      <c r="X10">
        <v>1</v>
      </c>
      <c r="Y10" s="219">
        <f>'Flyback CCM'!$B$69/1000</f>
        <v>0.08</v>
      </c>
      <c r="Z10">
        <v>0.5</v>
      </c>
      <c r="AA10" s="202" t="s">
        <v>508</v>
      </c>
      <c r="AB10" s="202" t="s">
        <v>508</v>
      </c>
      <c r="AC10" s="202" t="s">
        <v>508</v>
      </c>
      <c r="AD10">
        <v>2</v>
      </c>
      <c r="AE10" s="225">
        <v>1</v>
      </c>
      <c r="AF10" s="225">
        <v>1</v>
      </c>
      <c r="AG10" s="225">
        <v>1</v>
      </c>
      <c r="AH10">
        <v>2</v>
      </c>
      <c r="AI10">
        <v>1</v>
      </c>
      <c r="AJ10">
        <v>1</v>
      </c>
      <c r="AK10">
        <v>0</v>
      </c>
      <c r="AL10">
        <v>5000</v>
      </c>
      <c r="AM10">
        <v>1</v>
      </c>
      <c r="AN10">
        <v>1</v>
      </c>
      <c r="AO10">
        <v>1</v>
      </c>
      <c r="AP10">
        <v>1</v>
      </c>
      <c r="AQ10">
        <v>1</v>
      </c>
      <c r="AR10">
        <v>0.105</v>
      </c>
      <c r="AS10">
        <v>2</v>
      </c>
      <c r="AT10">
        <v>1</v>
      </c>
      <c r="AU10" s="217">
        <f>10*10^-6</f>
        <v>9.9999999999999991E-6</v>
      </c>
      <c r="AV10">
        <v>0</v>
      </c>
      <c r="AW10">
        <v>1</v>
      </c>
      <c r="AX10">
        <v>0</v>
      </c>
      <c r="AY10">
        <v>1</v>
      </c>
      <c r="AZ10">
        <v>1</v>
      </c>
      <c r="BA10">
        <v>1</v>
      </c>
      <c r="BB10">
        <f t="shared" si="2"/>
        <v>1</v>
      </c>
      <c r="BC10">
        <f t="shared" si="2"/>
        <v>1</v>
      </c>
      <c r="BD10">
        <v>1</v>
      </c>
      <c r="BE10" s="219">
        <f t="shared" si="3"/>
        <v>19</v>
      </c>
      <c r="BF10">
        <v>1</v>
      </c>
      <c r="BG10">
        <f t="shared" si="4"/>
        <v>0.08</v>
      </c>
      <c r="BH10">
        <v>5</v>
      </c>
      <c r="BI10">
        <f t="shared" si="1"/>
        <v>4.2625000000000002</v>
      </c>
      <c r="BJ10">
        <f t="shared" si="5"/>
        <v>22</v>
      </c>
      <c r="BK10">
        <f>(K10*$BF$24)+(Q10*$BF$23)+(S10*$BF$28)+(X10*$BF$24)+(AH10*$BF$24)+(AJ10*$BF$29)+(AK10*$BF$24)+(AM10*$BF$23)+(AN10*$BF$24)+(AO10*$BF$24)+(AQ10*$BF$30)+(AP10*$BF$23)+(AV10*$BF$23)+(AY10*$BF$24)+(AZ10*$BF$23)+(BA10*$BF$27)+(BB10*$BF$27)+(BC10*$BF$22)+(BD10*$BF$25)+(AT10*$BF$23)+(AS10*$BF$24)+BI28</f>
        <v>4.4825000000000008</v>
      </c>
      <c r="BL10">
        <v>0</v>
      </c>
      <c r="BM10">
        <v>0</v>
      </c>
    </row>
    <row r="11" spans="1:65" ht="15" x14ac:dyDescent="0.25">
      <c r="A11">
        <v>8</v>
      </c>
      <c r="B11" t="s">
        <v>426</v>
      </c>
      <c r="C11">
        <v>2</v>
      </c>
      <c r="D11">
        <v>3.1</v>
      </c>
      <c r="E11">
        <v>75</v>
      </c>
      <c r="F11">
        <v>75</v>
      </c>
      <c r="G11" s="202" t="s">
        <v>508</v>
      </c>
      <c r="H11">
        <v>1.26</v>
      </c>
      <c r="I11">
        <v>50</v>
      </c>
      <c r="J11">
        <v>1500</v>
      </c>
      <c r="K11">
        <v>1</v>
      </c>
      <c r="L11">
        <v>0</v>
      </c>
      <c r="M11">
        <v>0</v>
      </c>
      <c r="N11">
        <v>85</v>
      </c>
      <c r="O11" s="1">
        <v>0</v>
      </c>
      <c r="P11" s="2">
        <v>0</v>
      </c>
      <c r="Q11" s="218">
        <v>1</v>
      </c>
      <c r="R11" s="2">
        <v>6.85</v>
      </c>
      <c r="S11">
        <v>0</v>
      </c>
      <c r="T11" s="221" t="s">
        <v>508</v>
      </c>
      <c r="U11" s="202" t="s">
        <v>508</v>
      </c>
      <c r="V11" s="219">
        <v>0.49</v>
      </c>
      <c r="W11" s="223">
        <f>45*10^-9</f>
        <v>4.5000000000000006E-8</v>
      </c>
      <c r="X11">
        <v>0</v>
      </c>
      <c r="Y11">
        <v>0.05</v>
      </c>
      <c r="Z11">
        <v>1.5</v>
      </c>
      <c r="AA11" s="202">
        <v>0.8</v>
      </c>
      <c r="AB11" s="202">
        <v>1</v>
      </c>
      <c r="AC11" s="202" t="s">
        <v>508</v>
      </c>
      <c r="AD11">
        <v>2</v>
      </c>
      <c r="AE11" s="225">
        <v>1</v>
      </c>
      <c r="AF11" s="225">
        <v>1</v>
      </c>
      <c r="AG11" s="225">
        <v>1</v>
      </c>
      <c r="AH11">
        <v>2</v>
      </c>
      <c r="AI11">
        <v>1</v>
      </c>
      <c r="AJ11">
        <v>1</v>
      </c>
      <c r="AK11">
        <v>0</v>
      </c>
      <c r="AL11">
        <v>5000</v>
      </c>
      <c r="AM11">
        <v>1</v>
      </c>
      <c r="AN11">
        <v>1</v>
      </c>
      <c r="AO11">
        <v>1</v>
      </c>
      <c r="AP11">
        <v>1</v>
      </c>
      <c r="AQ11">
        <v>1</v>
      </c>
      <c r="AR11">
        <v>0.45</v>
      </c>
      <c r="AS11">
        <v>2</v>
      </c>
      <c r="AT11">
        <v>0</v>
      </c>
      <c r="AU11" s="217">
        <v>0</v>
      </c>
      <c r="AV11">
        <v>0</v>
      </c>
      <c r="AW11">
        <v>1</v>
      </c>
      <c r="AX11">
        <v>0</v>
      </c>
      <c r="AY11">
        <v>1</v>
      </c>
      <c r="AZ11">
        <v>1</v>
      </c>
      <c r="BA11">
        <v>1</v>
      </c>
      <c r="BB11">
        <f t="shared" si="2"/>
        <v>1</v>
      </c>
      <c r="BC11">
        <f t="shared" si="2"/>
        <v>1</v>
      </c>
      <c r="BD11">
        <v>1</v>
      </c>
      <c r="BE11" s="219">
        <f t="shared" si="3"/>
        <v>16</v>
      </c>
      <c r="BF11">
        <f>30*0.7</f>
        <v>21</v>
      </c>
      <c r="BG11">
        <f t="shared" si="4"/>
        <v>1.05</v>
      </c>
      <c r="BH11">
        <v>5</v>
      </c>
      <c r="BI11">
        <f t="shared" si="1"/>
        <v>4.34375</v>
      </c>
      <c r="BJ11">
        <f t="shared" si="5"/>
        <v>19</v>
      </c>
      <c r="BK11">
        <f>(K11*$BF$24)+(Q11*$BF$23)+(S11*$BF$28)+(X11*$BF$24)+(AH11*$BF$24)+(AJ11*$BF$29)+(AK11*$BF$24)+(AM11*$BF$23)+(AN11*$BF$24)+(AO11*$BF$24)+(AQ11*$BF$30)+(AP11*$BF$23)+(AV11*$BF$23)+(AY11*$BF$24)+(AZ11*$BF$23)+(BA11*$BF$27)+(BB11*$BF$27)+(BC11*$BF$22)+(BD11*$BF$25)+(AT11*$BF$23)+(AS11*$BF$24)+BI29</f>
        <v>4.5637499999999998</v>
      </c>
      <c r="BL11">
        <v>0</v>
      </c>
      <c r="BM11">
        <v>0</v>
      </c>
    </row>
    <row r="12" spans="1:65" ht="15" x14ac:dyDescent="0.25">
      <c r="A12">
        <v>9</v>
      </c>
      <c r="B12" t="s">
        <v>960</v>
      </c>
      <c r="C12">
        <v>2</v>
      </c>
      <c r="D12">
        <v>2.97</v>
      </c>
      <c r="E12">
        <v>48</v>
      </c>
      <c r="F12" s="428" t="s">
        <v>508</v>
      </c>
      <c r="G12" s="428" t="s">
        <v>508</v>
      </c>
      <c r="H12">
        <v>1.2749999999999999</v>
      </c>
      <c r="I12">
        <v>100</v>
      </c>
      <c r="J12">
        <v>1000</v>
      </c>
      <c r="K12">
        <v>1</v>
      </c>
      <c r="L12">
        <v>0</v>
      </c>
      <c r="M12">
        <v>0</v>
      </c>
      <c r="N12">
        <v>85</v>
      </c>
      <c r="O12" s="1">
        <v>0</v>
      </c>
      <c r="P12" s="2">
        <v>0</v>
      </c>
      <c r="Q12" s="218">
        <v>1</v>
      </c>
      <c r="R12" s="2">
        <v>6</v>
      </c>
      <c r="S12">
        <v>1</v>
      </c>
      <c r="T12" s="221" t="s">
        <v>508</v>
      </c>
      <c r="U12" s="428" t="s">
        <v>508</v>
      </c>
      <c r="V12" s="219">
        <f>'Flyback CCM'!B74/(1000)</f>
        <v>3.8E-3</v>
      </c>
      <c r="W12" s="223">
        <f>'Flyback CCM'!B75/(10^9)</f>
        <v>4.8E-8</v>
      </c>
      <c r="X12">
        <v>1</v>
      </c>
      <c r="Y12" s="219">
        <f>'Flyback CCM'!$B$69/1000</f>
        <v>0.08</v>
      </c>
      <c r="Z12">
        <v>0.1</v>
      </c>
      <c r="AA12" s="428" t="s">
        <v>508</v>
      </c>
      <c r="AB12" s="428" t="s">
        <v>508</v>
      </c>
      <c r="AC12" s="428" t="s">
        <v>508</v>
      </c>
      <c r="AD12">
        <v>2</v>
      </c>
      <c r="AE12" s="225">
        <v>1</v>
      </c>
      <c r="AF12" s="225">
        <v>1</v>
      </c>
      <c r="AG12" s="225">
        <v>1</v>
      </c>
      <c r="AH12">
        <v>2</v>
      </c>
      <c r="AI12">
        <v>1</v>
      </c>
      <c r="AJ12">
        <v>1</v>
      </c>
      <c r="AK12">
        <v>0</v>
      </c>
      <c r="AL12">
        <v>4700</v>
      </c>
      <c r="AM12">
        <v>1</v>
      </c>
      <c r="AN12">
        <v>1</v>
      </c>
      <c r="AO12">
        <v>1</v>
      </c>
      <c r="AP12">
        <v>1</v>
      </c>
      <c r="AQ12">
        <v>1</v>
      </c>
      <c r="AR12">
        <v>0.09</v>
      </c>
      <c r="AS12">
        <v>2</v>
      </c>
      <c r="AT12">
        <v>0</v>
      </c>
      <c r="AU12" s="217">
        <v>0</v>
      </c>
      <c r="AV12">
        <v>0</v>
      </c>
      <c r="AW12">
        <v>1</v>
      </c>
      <c r="AX12">
        <v>0</v>
      </c>
      <c r="AY12">
        <v>1</v>
      </c>
      <c r="AZ12">
        <v>1</v>
      </c>
      <c r="BA12">
        <v>1</v>
      </c>
      <c r="BB12">
        <f t="shared" si="2"/>
        <v>1</v>
      </c>
      <c r="BC12">
        <f t="shared" si="2"/>
        <v>1</v>
      </c>
      <c r="BD12">
        <v>1</v>
      </c>
      <c r="BE12" s="219">
        <f t="shared" ref="BE12" si="6">SUM(S12,X12,AE12,AF12,AG12,AH12,AS12,AT12,AV12,AW12,AX12,AY12,AZ12,BA12,BB12,BC12,Q12,K12,BD12)</f>
        <v>18</v>
      </c>
      <c r="BF12">
        <v>1</v>
      </c>
      <c r="BG12">
        <f t="shared" ref="BG12" si="7">BF12*Y12</f>
        <v>0.08</v>
      </c>
      <c r="BH12">
        <v>6</v>
      </c>
      <c r="BI12">
        <f t="shared" si="1"/>
        <v>3.95</v>
      </c>
      <c r="BJ12">
        <f t="shared" ref="BJ12" si="8">SUM(S12,X12,AH12,AJ12,AK12,AM12,AN12,AO12,AP12,AQ12,AS12,AT12,AV12,AW12,AX12,AY12,AZ12,BA12,BB12,BC12,Q12,K12,BD12)</f>
        <v>21</v>
      </c>
      <c r="BK12">
        <f>(K12*$BF$24)+(Q12*$BF$23)+(S12*$BF$28)+(X12*$BF$24)+(AH12*$BF$24)+(AJ12*$BF$29)+(AK12*$BF$24)+(AM12*$BF$23)+(AN12*$BF$24)+(AO12*$BF$24)+(AQ12*$BF$30)+(AP12*$BF$23)+(AV12*$BF$23)+(AY12*$BF$24)+(AZ12*$BF$23)+(BA12*$BF$27)+(BB12*$BF$27)+(BC12*$BF$22)+(BD12*$BF$25)+(AT12*$BF$23)+(AS12*$BF$24)+BI30</f>
        <v>4.1700000000000008</v>
      </c>
      <c r="BL12">
        <v>0</v>
      </c>
      <c r="BM12">
        <v>0</v>
      </c>
    </row>
    <row r="13" spans="1:65" ht="15" x14ac:dyDescent="0.25">
      <c r="A13">
        <v>10</v>
      </c>
      <c r="B13" t="s">
        <v>277</v>
      </c>
      <c r="C13">
        <v>2</v>
      </c>
      <c r="D13">
        <v>10</v>
      </c>
      <c r="E13">
        <v>100</v>
      </c>
      <c r="F13" s="202" t="s">
        <v>508</v>
      </c>
      <c r="G13" s="202" t="s">
        <v>508</v>
      </c>
      <c r="H13">
        <v>1.25</v>
      </c>
      <c r="I13">
        <v>50</v>
      </c>
      <c r="J13">
        <v>1000</v>
      </c>
      <c r="K13">
        <v>1</v>
      </c>
      <c r="L13">
        <v>0</v>
      </c>
      <c r="M13">
        <v>0</v>
      </c>
      <c r="N13">
        <v>75</v>
      </c>
      <c r="O13" s="1">
        <v>0</v>
      </c>
      <c r="P13" s="2">
        <v>0</v>
      </c>
      <c r="Q13" s="218">
        <v>1</v>
      </c>
      <c r="R13" s="2">
        <v>7.7</v>
      </c>
      <c r="S13">
        <v>1</v>
      </c>
      <c r="T13" s="221" t="s">
        <v>508</v>
      </c>
      <c r="U13" s="202" t="s">
        <v>508</v>
      </c>
      <c r="V13" s="219">
        <f>'Flyback DCM'!B71/(1000)</f>
        <v>5.0000000000000001E-3</v>
      </c>
      <c r="W13" s="223">
        <f>'Flyback DCM'!B72/(10^9)</f>
        <v>4.9999999999999998E-8</v>
      </c>
      <c r="X13">
        <v>1</v>
      </c>
      <c r="Y13" s="219">
        <f>'Flyback DCM'!$B$66/1000</f>
        <v>0.05</v>
      </c>
      <c r="Z13">
        <v>0.5</v>
      </c>
      <c r="AA13" s="202" t="s">
        <v>508</v>
      </c>
      <c r="AB13" s="202" t="s">
        <v>508</v>
      </c>
      <c r="AC13" s="202" t="s">
        <v>508</v>
      </c>
      <c r="AD13">
        <v>2</v>
      </c>
      <c r="AE13">
        <v>1</v>
      </c>
      <c r="AF13">
        <v>1</v>
      </c>
      <c r="AG13">
        <v>1</v>
      </c>
      <c r="AH13">
        <v>2</v>
      </c>
      <c r="AI13">
        <v>1</v>
      </c>
      <c r="AJ13">
        <v>1</v>
      </c>
      <c r="AK13">
        <v>0</v>
      </c>
      <c r="AL13">
        <v>5000</v>
      </c>
      <c r="AM13">
        <v>1</v>
      </c>
      <c r="AN13">
        <v>1</v>
      </c>
      <c r="AO13">
        <v>1</v>
      </c>
      <c r="AP13">
        <v>1</v>
      </c>
      <c r="AQ13">
        <v>1</v>
      </c>
      <c r="AR13">
        <v>0.105</v>
      </c>
      <c r="AS13">
        <v>2</v>
      </c>
      <c r="AT13">
        <v>1</v>
      </c>
      <c r="AU13" s="217">
        <f>10*10^-6</f>
        <v>9.9999999999999991E-6</v>
      </c>
      <c r="AV13">
        <v>0</v>
      </c>
      <c r="AW13">
        <v>1</v>
      </c>
      <c r="AX13">
        <v>0</v>
      </c>
      <c r="AY13">
        <v>1</v>
      </c>
      <c r="AZ13">
        <v>1</v>
      </c>
      <c r="BA13">
        <v>1</v>
      </c>
      <c r="BB13">
        <f t="shared" si="2"/>
        <v>1</v>
      </c>
      <c r="BC13">
        <f t="shared" si="2"/>
        <v>1</v>
      </c>
      <c r="BD13">
        <v>1</v>
      </c>
      <c r="BE13" s="219">
        <f t="shared" si="3"/>
        <v>19</v>
      </c>
      <c r="BF13">
        <v>1</v>
      </c>
      <c r="BG13">
        <f t="shared" si="4"/>
        <v>0.05</v>
      </c>
      <c r="BH13">
        <v>5</v>
      </c>
      <c r="BI13">
        <f>(K13*$BF$24)+(Q13*$BF$23)+(S13*$BF$28)+(X13*$BF$24)+(AE13*$BF$23)+(AF13*$BF$23)+(AG13*$BF$23)+(AH13*$BF$24)+(AV13*$BF$23)+(AY13*$BF$24)+(AZ13*$BF$23)+(BA13*$BF$27)+(BB13*$BF$27)+(BC13*$BF$22)+(BD13*$BF$25)+(AT13*$BF$23)+(AS13*$BF$24)+BI26</f>
        <v>4.1500000000000004</v>
      </c>
      <c r="BJ13">
        <f t="shared" si="5"/>
        <v>22</v>
      </c>
      <c r="BK13">
        <f>(K13*$BF$24)+(Q13*$BF$23)+(S13*$BF$28)+(X13*$BF$24)+(AH13*$BF$24)+(AJ13*$BF$29)+(AK13*$BF$24)+(AM13*$BF$23)+(AN13*$BF$24)+(AO13*$BF$24)+(AQ13*$BF$30)+(AP13*$BF$23)+(AV13*$BF$23)+(AY13*$BF$24)+(AZ13*$BF$23)+(BA13*$BF$27)+(BB13*$BF$27)+(BC13*$BF$22)+(BD13*$BF$25)+(AT13*$BF$23)+(AS13*$BF$24)+BI26</f>
        <v>4.370000000000001</v>
      </c>
      <c r="BL13">
        <v>0</v>
      </c>
      <c r="BM13">
        <v>0</v>
      </c>
    </row>
    <row r="14" spans="1:65" ht="15" x14ac:dyDescent="0.25">
      <c r="A14">
        <v>11</v>
      </c>
      <c r="B14" t="s">
        <v>424</v>
      </c>
      <c r="C14">
        <v>2</v>
      </c>
      <c r="D14">
        <v>8</v>
      </c>
      <c r="E14">
        <v>30</v>
      </c>
      <c r="F14" s="202" t="s">
        <v>508</v>
      </c>
      <c r="G14" s="202" t="s">
        <v>508</v>
      </c>
      <c r="H14">
        <v>0</v>
      </c>
      <c r="I14">
        <v>50</v>
      </c>
      <c r="J14">
        <v>1000</v>
      </c>
      <c r="K14">
        <v>1</v>
      </c>
      <c r="L14">
        <v>0</v>
      </c>
      <c r="M14">
        <v>0</v>
      </c>
      <c r="N14">
        <v>75</v>
      </c>
      <c r="O14" s="1">
        <v>0</v>
      </c>
      <c r="P14" s="2">
        <v>0</v>
      </c>
      <c r="Q14" s="218">
        <v>1</v>
      </c>
      <c r="R14" s="2">
        <v>7</v>
      </c>
      <c r="S14">
        <v>1</v>
      </c>
      <c r="T14" s="221" t="s">
        <v>508</v>
      </c>
      <c r="U14" s="202" t="s">
        <v>508</v>
      </c>
      <c r="V14" s="219">
        <f>'Flyback DCM'!B71/(1000)</f>
        <v>5.0000000000000001E-3</v>
      </c>
      <c r="W14" s="223">
        <f>'Flyback DCM'!B72/(10^9)</f>
        <v>4.9999999999999998E-8</v>
      </c>
      <c r="X14">
        <v>1</v>
      </c>
      <c r="Y14" s="219">
        <f>'Flyback DCM'!$B$66/1000</f>
        <v>0.05</v>
      </c>
      <c r="Z14">
        <v>0.5</v>
      </c>
      <c r="AA14" s="202" t="s">
        <v>508</v>
      </c>
      <c r="AB14" s="202" t="s">
        <v>508</v>
      </c>
      <c r="AC14" s="202" t="s">
        <v>508</v>
      </c>
      <c r="AD14">
        <v>3</v>
      </c>
      <c r="AE14" s="225">
        <v>0</v>
      </c>
      <c r="AF14" s="225">
        <v>0</v>
      </c>
      <c r="AG14" s="225">
        <v>0</v>
      </c>
      <c r="AH14">
        <v>2</v>
      </c>
      <c r="AI14">
        <v>1</v>
      </c>
      <c r="AJ14">
        <v>1</v>
      </c>
      <c r="AK14">
        <v>0</v>
      </c>
      <c r="AL14">
        <v>5000</v>
      </c>
      <c r="AM14">
        <v>1</v>
      </c>
      <c r="AN14">
        <v>1</v>
      </c>
      <c r="AO14">
        <v>1</v>
      </c>
      <c r="AP14">
        <v>1</v>
      </c>
      <c r="AQ14">
        <v>1</v>
      </c>
      <c r="AR14">
        <v>0.09</v>
      </c>
      <c r="AS14">
        <v>2</v>
      </c>
      <c r="AT14">
        <v>1</v>
      </c>
      <c r="AU14" s="217">
        <f>10*10^-6</f>
        <v>9.9999999999999991E-6</v>
      </c>
      <c r="AV14">
        <v>0</v>
      </c>
      <c r="AW14">
        <v>1</v>
      </c>
      <c r="AX14">
        <v>0</v>
      </c>
      <c r="AY14">
        <v>1</v>
      </c>
      <c r="AZ14">
        <v>1</v>
      </c>
      <c r="BA14">
        <v>1</v>
      </c>
      <c r="BB14">
        <f t="shared" si="2"/>
        <v>1</v>
      </c>
      <c r="BC14">
        <f t="shared" si="2"/>
        <v>1</v>
      </c>
      <c r="BD14">
        <v>1</v>
      </c>
      <c r="BE14" s="219">
        <f t="shared" si="3"/>
        <v>16</v>
      </c>
      <c r="BF14">
        <v>1</v>
      </c>
      <c r="BG14">
        <f t="shared" si="4"/>
        <v>0.05</v>
      </c>
      <c r="BH14">
        <v>5.2</v>
      </c>
      <c r="BI14">
        <f>(K14*$BF$24)+(Q14*$BF$23)+(S14*$BF$28)+(X14*$BF$24)+(AE14*$BF$23)+(AF14*$BF$23)+(AG14*$BF$23)+(AH14*$BF$24)+(AV14*$BF$23)+(AY14*$BF$24)+(AZ14*$BF$23)+(BA14*$BF$27)+(BB14*$BF$27)+(BC14*$BF$22)+(BD14*$BF$25)+(AT14*$BF$23)+(AS14*$BF$24)+BI27</f>
        <v>3.5129999999999999</v>
      </c>
      <c r="BJ14">
        <f t="shared" si="5"/>
        <v>22</v>
      </c>
      <c r="BK14">
        <f>(K14*$BF$24)+(Q14*$BF$23)+(S14*$BF$28)+(X14*$BF$24)+(AH14*$BF$24)+(AJ14*$BF$29)+(AK14*$BF$24)+(AM14*$BF$23)+(AN14*$BF$24)+(AO14*$BF$24)+(AQ14*$BF$30)+(AP14*$BF$23)+(AV14*$BF$23)+(AY14*$BF$24)+(AZ14*$BF$23)+(BA14*$BF$27)+(BB14*$BF$27)+(BC14*$BF$22)+(BD14*$BF$25)+(AT14*$BF$23)+(AS14*$BF$24)+BI27</f>
        <v>4.0330000000000004</v>
      </c>
      <c r="BL14">
        <v>0</v>
      </c>
      <c r="BM14">
        <v>0</v>
      </c>
    </row>
    <row r="15" spans="1:65" ht="15" x14ac:dyDescent="0.25">
      <c r="A15">
        <v>12</v>
      </c>
      <c r="B15" t="s">
        <v>425</v>
      </c>
      <c r="C15">
        <v>2</v>
      </c>
      <c r="D15">
        <v>6</v>
      </c>
      <c r="E15">
        <v>65</v>
      </c>
      <c r="F15" s="202" t="s">
        <v>508</v>
      </c>
      <c r="G15" s="202" t="s">
        <v>508</v>
      </c>
      <c r="H15">
        <v>1.25</v>
      </c>
      <c r="I15">
        <v>50</v>
      </c>
      <c r="J15">
        <v>2000</v>
      </c>
      <c r="K15">
        <v>1</v>
      </c>
      <c r="L15">
        <v>0</v>
      </c>
      <c r="M15">
        <v>0</v>
      </c>
      <c r="N15">
        <v>90</v>
      </c>
      <c r="O15" s="1">
        <v>0</v>
      </c>
      <c r="P15" s="2">
        <v>0</v>
      </c>
      <c r="Q15" s="218">
        <v>1</v>
      </c>
      <c r="R15" s="2">
        <v>7</v>
      </c>
      <c r="S15">
        <v>1</v>
      </c>
      <c r="T15" s="221" t="s">
        <v>508</v>
      </c>
      <c r="U15" s="202" t="s">
        <v>508</v>
      </c>
      <c r="V15" s="219">
        <f>'Flyback DCM'!B71/(1000)</f>
        <v>5.0000000000000001E-3</v>
      </c>
      <c r="W15" s="223">
        <f>'Flyback DCM'!B72/(10^9)</f>
        <v>4.9999999999999998E-8</v>
      </c>
      <c r="X15">
        <v>1</v>
      </c>
      <c r="Y15" s="219">
        <f>'Flyback DCM'!$B$66/1000</f>
        <v>0.05</v>
      </c>
      <c r="Z15">
        <v>0.5</v>
      </c>
      <c r="AA15" s="202" t="s">
        <v>508</v>
      </c>
      <c r="AB15" s="202" t="s">
        <v>508</v>
      </c>
      <c r="AC15" s="202" t="s">
        <v>508</v>
      </c>
      <c r="AD15">
        <v>2</v>
      </c>
      <c r="AE15" s="225">
        <v>1</v>
      </c>
      <c r="AF15" s="225">
        <v>1</v>
      </c>
      <c r="AG15" s="225">
        <v>1</v>
      </c>
      <c r="AH15">
        <v>2</v>
      </c>
      <c r="AI15">
        <v>1</v>
      </c>
      <c r="AJ15">
        <v>1</v>
      </c>
      <c r="AK15">
        <v>0</v>
      </c>
      <c r="AL15">
        <v>5000</v>
      </c>
      <c r="AM15">
        <v>1</v>
      </c>
      <c r="AN15">
        <v>1</v>
      </c>
      <c r="AO15">
        <v>1</v>
      </c>
      <c r="AP15">
        <v>1</v>
      </c>
      <c r="AQ15">
        <v>1</v>
      </c>
      <c r="AR15">
        <v>0.105</v>
      </c>
      <c r="AS15">
        <v>2</v>
      </c>
      <c r="AT15">
        <v>1</v>
      </c>
      <c r="AU15" s="217">
        <f>10*10^-6</f>
        <v>9.9999999999999991E-6</v>
      </c>
      <c r="AV15">
        <v>0</v>
      </c>
      <c r="AW15">
        <v>1</v>
      </c>
      <c r="AX15">
        <v>0</v>
      </c>
      <c r="AY15">
        <v>1</v>
      </c>
      <c r="AZ15">
        <v>1</v>
      </c>
      <c r="BA15">
        <v>1</v>
      </c>
      <c r="BB15">
        <f t="shared" si="2"/>
        <v>1</v>
      </c>
      <c r="BC15">
        <f t="shared" si="2"/>
        <v>1</v>
      </c>
      <c r="BD15">
        <v>1</v>
      </c>
      <c r="BE15" s="219">
        <f t="shared" si="3"/>
        <v>19</v>
      </c>
      <c r="BF15">
        <v>1</v>
      </c>
      <c r="BG15">
        <f t="shared" si="4"/>
        <v>0.05</v>
      </c>
      <c r="BH15">
        <v>5</v>
      </c>
      <c r="BI15">
        <f>(K15*$BF$24)+(Q15*$BF$23)+(S15*$BF$28)+(X15*$BF$24)+(AE15*$BF$23)+(AF15*$BF$23)+(AG15*$BF$23)+(AH15*$BF$24)+(AV15*$BF$23)+(AY15*$BF$24)+(AZ15*$BF$23)+(BA15*$BF$27)+(BB15*$BF$27)+(BC15*$BF$22)+(BD15*$BF$25)+(AT15*$BF$23)+(AS15*$BF$24)+BI28</f>
        <v>4.2625000000000002</v>
      </c>
      <c r="BJ15">
        <f t="shared" si="5"/>
        <v>22</v>
      </c>
      <c r="BK15">
        <f>(K15*$BF$24)+(Q15*$BF$23)+(S15*$BF$28)+(X15*$BF$24)+(AH15*$BF$24)+(AJ15*$BF$29)+(AK15*$BF$24)+(AM15*$BF$23)+(AN15*$BF$24)+(AO15*$BF$24)+(AQ15*$BF$30)+(AP15*$BF$23)+(AV15*$BF$23)+(AY15*$BF$24)+(AZ15*$BF$23)+(BA15*$BF$27)+(BB15*$BF$27)+(BC15*$BF$22)+(BD15*$BF$25)+(AT15*$BF$23)+(AS15*$BF$24)+BI28</f>
        <v>4.4825000000000008</v>
      </c>
      <c r="BL15">
        <v>0</v>
      </c>
      <c r="BM15">
        <v>0</v>
      </c>
    </row>
    <row r="16" spans="1:65" ht="15" x14ac:dyDescent="0.25">
      <c r="A16">
        <v>13</v>
      </c>
      <c r="B16" t="s">
        <v>426</v>
      </c>
      <c r="C16">
        <v>2</v>
      </c>
      <c r="D16">
        <v>3.1</v>
      </c>
      <c r="E16">
        <v>75</v>
      </c>
      <c r="F16">
        <v>75</v>
      </c>
      <c r="G16" s="202" t="s">
        <v>508</v>
      </c>
      <c r="H16">
        <v>1.26</v>
      </c>
      <c r="I16">
        <v>50</v>
      </c>
      <c r="J16">
        <v>1500</v>
      </c>
      <c r="K16">
        <v>1</v>
      </c>
      <c r="L16">
        <v>0</v>
      </c>
      <c r="M16">
        <v>0</v>
      </c>
      <c r="N16">
        <v>85</v>
      </c>
      <c r="O16" s="1">
        <v>0</v>
      </c>
      <c r="P16" s="2">
        <v>0</v>
      </c>
      <c r="Q16" s="218">
        <v>1</v>
      </c>
      <c r="R16" s="2">
        <v>6.85</v>
      </c>
      <c r="S16">
        <v>0</v>
      </c>
      <c r="T16" s="221" t="s">
        <v>508</v>
      </c>
      <c r="U16" s="202" t="s">
        <v>508</v>
      </c>
      <c r="V16" s="219">
        <v>0.49</v>
      </c>
      <c r="W16" s="223">
        <f>45*10^-9</f>
        <v>4.5000000000000006E-8</v>
      </c>
      <c r="X16">
        <v>0</v>
      </c>
      <c r="Y16">
        <v>0.05</v>
      </c>
      <c r="Z16">
        <v>1.5</v>
      </c>
      <c r="AA16" s="202">
        <v>0.8</v>
      </c>
      <c r="AB16" s="202">
        <v>1</v>
      </c>
      <c r="AC16" s="202" t="s">
        <v>508</v>
      </c>
      <c r="AD16">
        <v>2</v>
      </c>
      <c r="AE16" s="225">
        <v>1</v>
      </c>
      <c r="AF16" s="225">
        <v>1</v>
      </c>
      <c r="AG16" s="225">
        <v>1</v>
      </c>
      <c r="AH16">
        <v>2</v>
      </c>
      <c r="AI16">
        <v>1</v>
      </c>
      <c r="AJ16">
        <v>1</v>
      </c>
      <c r="AK16">
        <v>0</v>
      </c>
      <c r="AL16">
        <v>5000</v>
      </c>
      <c r="AM16">
        <v>1</v>
      </c>
      <c r="AN16">
        <v>1</v>
      </c>
      <c r="AO16">
        <v>1</v>
      </c>
      <c r="AP16">
        <v>1</v>
      </c>
      <c r="AQ16">
        <v>1</v>
      </c>
      <c r="AR16">
        <v>0.45</v>
      </c>
      <c r="AS16">
        <v>2</v>
      </c>
      <c r="AT16">
        <v>0</v>
      </c>
      <c r="AU16" s="217">
        <v>0</v>
      </c>
      <c r="AV16">
        <v>0</v>
      </c>
      <c r="AW16">
        <v>1</v>
      </c>
      <c r="AX16">
        <v>0</v>
      </c>
      <c r="AY16">
        <v>1</v>
      </c>
      <c r="AZ16">
        <v>1</v>
      </c>
      <c r="BA16">
        <v>1</v>
      </c>
      <c r="BB16">
        <f t="shared" si="2"/>
        <v>1</v>
      </c>
      <c r="BC16">
        <f t="shared" si="2"/>
        <v>1</v>
      </c>
      <c r="BD16">
        <v>1</v>
      </c>
      <c r="BE16" s="219">
        <f t="shared" si="3"/>
        <v>16</v>
      </c>
      <c r="BF16">
        <f>30*0.7</f>
        <v>21</v>
      </c>
      <c r="BG16">
        <f t="shared" si="4"/>
        <v>1.05</v>
      </c>
      <c r="BH16">
        <v>5</v>
      </c>
      <c r="BI16">
        <f>(K16*$BF$24)+(Q16*$BF$23)+(S16*$BF$28)+(X16*$BF$24)+(AE16*$BF$23)+(AF16*$BF$23)+(AG16*$BF$23)+(AH16*$BF$24)+(AV16*$BF$23)+(AY16*$BF$24)+(AZ16*$BF$23)+(BA16*$BF$27)+(BB16*$BF$27)+(BC16*$BF$22)+(BD16*$BF$25)+(AT16*$BF$23)+(AS16*$BF$24)+BI29</f>
        <v>4.34375</v>
      </c>
      <c r="BJ16">
        <f t="shared" si="5"/>
        <v>19</v>
      </c>
      <c r="BK16">
        <f>(K16*$BF$24)+(Q16*$BF$23)+(S16*$BF$28)+(X16*$BF$24)+(AH16*$BF$24)+(AJ16*$BF$29)+(AK16*$BF$24)+(AM16*$BF$23)+(AN16*$BF$24)+(AO16*$BF$24)+(AQ16*$BF$30)+(AP16*$BF$23)+(AV16*$BF$23)+(AY16*$BF$24)+(AZ16*$BF$23)+(BA16*$BF$27)+(BB16*$BF$27)+(BC16*$BF$22)+(BD16*$BF$25)+(AT16*$BF$23)+(AS16*$BF$24)+BI29</f>
        <v>4.5637499999999998</v>
      </c>
      <c r="BL16">
        <v>0</v>
      </c>
      <c r="BM16">
        <v>0</v>
      </c>
    </row>
    <row r="17" spans="1:65" ht="15" x14ac:dyDescent="0.25">
      <c r="A17">
        <v>14</v>
      </c>
      <c r="B17" t="s">
        <v>960</v>
      </c>
      <c r="C17">
        <v>2</v>
      </c>
      <c r="D17">
        <v>2.97</v>
      </c>
      <c r="E17">
        <v>48</v>
      </c>
      <c r="F17" s="428" t="s">
        <v>508</v>
      </c>
      <c r="G17" s="428" t="s">
        <v>508</v>
      </c>
      <c r="H17">
        <v>1.2749999999999999</v>
      </c>
      <c r="I17">
        <v>100</v>
      </c>
      <c r="J17">
        <v>1000</v>
      </c>
      <c r="K17">
        <v>1</v>
      </c>
      <c r="L17">
        <v>0</v>
      </c>
      <c r="M17">
        <v>0</v>
      </c>
      <c r="N17">
        <v>85</v>
      </c>
      <c r="O17" s="1">
        <v>0</v>
      </c>
      <c r="P17" s="2">
        <v>0</v>
      </c>
      <c r="Q17" s="218">
        <v>1</v>
      </c>
      <c r="R17" s="2">
        <v>6</v>
      </c>
      <c r="S17">
        <v>1</v>
      </c>
      <c r="T17" s="221" t="s">
        <v>508</v>
      </c>
      <c r="U17" s="428" t="s">
        <v>508</v>
      </c>
      <c r="V17" s="219">
        <f>'Flyback DCM'!B71/(1000)</f>
        <v>5.0000000000000001E-3</v>
      </c>
      <c r="W17" s="223">
        <f>45*10^-9</f>
        <v>4.5000000000000006E-8</v>
      </c>
      <c r="X17">
        <v>1</v>
      </c>
      <c r="Y17" s="219">
        <f>'Flyback DCM'!$B$66/1000</f>
        <v>0.05</v>
      </c>
      <c r="Z17">
        <v>0.1</v>
      </c>
      <c r="AA17" s="428" t="s">
        <v>508</v>
      </c>
      <c r="AB17" s="428" t="s">
        <v>508</v>
      </c>
      <c r="AC17" s="428" t="s">
        <v>508</v>
      </c>
      <c r="AD17">
        <v>2</v>
      </c>
      <c r="AE17" s="225">
        <v>1</v>
      </c>
      <c r="AF17" s="225">
        <v>1</v>
      </c>
      <c r="AG17" s="225">
        <v>1</v>
      </c>
      <c r="AH17">
        <v>2</v>
      </c>
      <c r="AI17">
        <v>1</v>
      </c>
      <c r="AJ17">
        <v>1</v>
      </c>
      <c r="AK17">
        <v>0</v>
      </c>
      <c r="AL17">
        <v>4700</v>
      </c>
      <c r="AM17">
        <v>1</v>
      </c>
      <c r="AN17">
        <v>1</v>
      </c>
      <c r="AO17">
        <v>1</v>
      </c>
      <c r="AP17">
        <v>1</v>
      </c>
      <c r="AQ17">
        <v>1</v>
      </c>
      <c r="AR17">
        <v>0.09</v>
      </c>
      <c r="AS17">
        <v>2</v>
      </c>
      <c r="AT17">
        <v>0</v>
      </c>
      <c r="AU17" s="217">
        <v>0</v>
      </c>
      <c r="AV17">
        <v>0</v>
      </c>
      <c r="AW17">
        <v>1</v>
      </c>
      <c r="AX17">
        <v>0</v>
      </c>
      <c r="AY17">
        <v>1</v>
      </c>
      <c r="AZ17">
        <v>1</v>
      </c>
      <c r="BA17">
        <v>1</v>
      </c>
      <c r="BB17">
        <f t="shared" si="2"/>
        <v>1</v>
      </c>
      <c r="BC17">
        <f t="shared" si="2"/>
        <v>1</v>
      </c>
      <c r="BD17">
        <v>1</v>
      </c>
      <c r="BE17" s="219">
        <f t="shared" ref="BE17" si="9">SUM(S17,X17,AE17,AF17,AG17,AH17,AS17,AT17,AV17,AW17,AX17,AY17,AZ17,BA17,BB17,BC17,Q17,K17,BD17)</f>
        <v>18</v>
      </c>
      <c r="BF17">
        <v>1</v>
      </c>
      <c r="BG17">
        <f t="shared" ref="BG17" si="10">BF17*Y17</f>
        <v>0.05</v>
      </c>
      <c r="BH17">
        <v>6</v>
      </c>
      <c r="BI17">
        <f>(K17*$BF$24)+(Q17*$BF$23)+(S17*$BF$28)+(X17*$BF$24)+(AE17*$BF$23)+(AF17*$BF$23)+(AG17*$BF$23)+(AH17*$BF$24)+(AV17*$BF$23)+(AY17*$BF$24)+(AZ17*$BF$23)+(BA17*$BF$27)+(BB17*$BF$27)+(BC17*$BF$22)+(BD17*$BF$25)+(AT17*$BF$23)+(AS17*$BF$24)+BI30</f>
        <v>3.95</v>
      </c>
      <c r="BJ17">
        <f t="shared" ref="BJ17" si="11">SUM(S17,X17,AH17,AJ17,AK17,AM17,AN17,AO17,AP17,AQ17,AS17,AT17,AV17,AW17,AX17,AY17,AZ17,BA17,BB17,BC17,Q17,K17,BD17)</f>
        <v>21</v>
      </c>
      <c r="BK17">
        <f>(K17*$BF$24)+(Q17*$BF$23)+(S17*$BF$28)+(X17*$BF$24)+(AH17*$BF$24)+(AJ17*$BF$29)+(AK17*$BF$24)+(AM17*$BF$23)+(AN17*$BF$24)+(AO17*$BF$24)+(AQ17*$BF$30)+(AP17*$BF$23)+(AV17*$BF$23)+(AY17*$BF$24)+(AZ17*$BF$23)+(BA17*$BF$27)+(BB17*$BF$27)+(BC17*$BF$22)+(BD17*$BF$25)+(AT17*$BF$23)+(AS17*$BF$24)+BI30</f>
        <v>4.1700000000000008</v>
      </c>
      <c r="BL17">
        <v>0</v>
      </c>
      <c r="BM17">
        <v>0</v>
      </c>
    </row>
    <row r="21" spans="1:65" ht="30" x14ac:dyDescent="0.25">
      <c r="BE21" s="14" t="s">
        <v>891</v>
      </c>
      <c r="BF21" s="14" t="s">
        <v>892</v>
      </c>
    </row>
    <row r="22" spans="1:65" ht="15" x14ac:dyDescent="0.25">
      <c r="BE22" s="1" t="s">
        <v>885</v>
      </c>
      <c r="BF22" s="1">
        <v>0.2</v>
      </c>
      <c r="BH22" t="s">
        <v>108</v>
      </c>
      <c r="BI22">
        <v>1.7662500000000001</v>
      </c>
    </row>
    <row r="23" spans="1:65" x14ac:dyDescent="0.55000000000000004">
      <c r="AY23">
        <f>BI6/BI11</f>
        <v>0.84172661870503596</v>
      </c>
      <c r="BE23" s="1" t="s">
        <v>886</v>
      </c>
      <c r="BF23" s="1">
        <v>0.1</v>
      </c>
      <c r="BH23" t="s">
        <v>109</v>
      </c>
      <c r="BI23">
        <v>1.575</v>
      </c>
    </row>
    <row r="24" spans="1:65" x14ac:dyDescent="0.55000000000000004">
      <c r="AY24">
        <f>BI4/BI13</f>
        <v>0.96777108433734937</v>
      </c>
      <c r="BE24" s="1" t="s">
        <v>887</v>
      </c>
      <c r="BF24" s="1">
        <v>0.05</v>
      </c>
      <c r="BH24" t="s">
        <v>110</v>
      </c>
      <c r="BI24">
        <v>1.40625</v>
      </c>
    </row>
    <row r="25" spans="1:65" x14ac:dyDescent="0.55000000000000004">
      <c r="BE25" s="1" t="s">
        <v>539</v>
      </c>
      <c r="BF25" s="1">
        <v>1</v>
      </c>
      <c r="BH25" t="s">
        <v>514</v>
      </c>
      <c r="BI25">
        <v>2.2679999999999998</v>
      </c>
    </row>
    <row r="26" spans="1:65" x14ac:dyDescent="0.55000000000000004">
      <c r="BE26" s="1" t="s">
        <v>888</v>
      </c>
      <c r="BF26" s="1">
        <v>0.1</v>
      </c>
      <c r="BH26" t="s">
        <v>277</v>
      </c>
      <c r="BI26">
        <v>0.9</v>
      </c>
    </row>
    <row r="27" spans="1:65" x14ac:dyDescent="0.55000000000000004">
      <c r="BE27" s="1" t="s">
        <v>889</v>
      </c>
      <c r="BF27" s="1">
        <v>0.3</v>
      </c>
      <c r="BH27" t="s">
        <v>424</v>
      </c>
      <c r="BI27">
        <v>0.56299999999999994</v>
      </c>
    </row>
    <row r="28" spans="1:65" x14ac:dyDescent="0.55000000000000004">
      <c r="BE28" s="1" t="s">
        <v>890</v>
      </c>
      <c r="BF28" s="1">
        <v>0.5</v>
      </c>
      <c r="BH28" t="s">
        <v>425</v>
      </c>
      <c r="BI28">
        <v>1.0125</v>
      </c>
    </row>
    <row r="29" spans="1:65" x14ac:dyDescent="0.55000000000000004">
      <c r="BE29" s="1" t="s">
        <v>524</v>
      </c>
      <c r="BF29" s="1">
        <v>0.12</v>
      </c>
      <c r="BH29" t="s">
        <v>426</v>
      </c>
      <c r="BI29">
        <v>1.7437499999999999</v>
      </c>
    </row>
    <row r="30" spans="1:65" x14ac:dyDescent="0.55000000000000004">
      <c r="BE30" s="1" t="s">
        <v>893</v>
      </c>
      <c r="BF30" s="1">
        <v>0.1</v>
      </c>
      <c r="BH30" t="s">
        <v>960</v>
      </c>
      <c r="BI30">
        <v>0.8</v>
      </c>
    </row>
  </sheetData>
  <mergeCells count="5">
    <mergeCell ref="D1:E1"/>
    <mergeCell ref="I1:R1"/>
    <mergeCell ref="AY1:BA1"/>
    <mergeCell ref="AT1:AU1"/>
    <mergeCell ref="AD1:AR1"/>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9" sqref="L39"/>
    </sheetView>
  </sheetViews>
  <sheetFormatPr defaultRowHeight="14.4" x14ac:dyDescent="0.55000000000000004"/>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6" sqref="D6"/>
    </sheetView>
  </sheetViews>
  <sheetFormatPr defaultRowHeight="14.4" x14ac:dyDescent="0.55000000000000004"/>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4.4" x14ac:dyDescent="0.55000000000000004"/>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D14" sqref="D14"/>
    </sheetView>
  </sheetViews>
  <sheetFormatPr defaultRowHeight="14.4" x14ac:dyDescent="0.55000000000000004"/>
  <cols>
    <col min="1" max="1" width="29" bestFit="1" customWidth="1"/>
    <col min="2" max="2" width="12" bestFit="1" customWidth="1"/>
    <col min="4" max="4" width="34.578125" customWidth="1"/>
    <col min="12" max="12" width="17" bestFit="1" customWidth="1"/>
    <col min="13" max="13" width="7" bestFit="1" customWidth="1"/>
  </cols>
  <sheetData>
    <row r="1" spans="1:21" ht="15" x14ac:dyDescent="0.25">
      <c r="A1" t="s">
        <v>25</v>
      </c>
    </row>
    <row r="2" spans="1:21" ht="15" x14ac:dyDescent="0.25">
      <c r="F2" s="525" t="s">
        <v>548</v>
      </c>
      <c r="G2" s="525"/>
      <c r="H2" s="525"/>
    </row>
    <row r="3" spans="1:21" s="14" customFormat="1" ht="45" x14ac:dyDescent="0.25">
      <c r="F3" s="14" t="s">
        <v>478</v>
      </c>
      <c r="G3" s="14" t="s">
        <v>515</v>
      </c>
      <c r="H3" s="14" t="s">
        <v>516</v>
      </c>
    </row>
    <row r="4" spans="1:21" ht="15" x14ac:dyDescent="0.25">
      <c r="A4" t="s">
        <v>12</v>
      </c>
      <c r="B4">
        <v>1</v>
      </c>
      <c r="F4" t="s">
        <v>108</v>
      </c>
      <c r="G4" t="s">
        <v>108</v>
      </c>
      <c r="H4" t="s">
        <v>277</v>
      </c>
      <c r="J4" s="1"/>
      <c r="K4" s="1"/>
      <c r="N4" s="1"/>
      <c r="O4" s="1"/>
      <c r="P4" s="1"/>
      <c r="Q4" s="1"/>
      <c r="R4" s="1"/>
      <c r="S4" s="1"/>
      <c r="T4" s="1"/>
      <c r="U4" s="1"/>
    </row>
    <row r="5" spans="1:21" ht="15" x14ac:dyDescent="0.25">
      <c r="A5" t="s">
        <v>26</v>
      </c>
      <c r="B5">
        <f>(VinMax-VinMin)/50</f>
        <v>1.08</v>
      </c>
      <c r="F5" t="s">
        <v>109</v>
      </c>
      <c r="G5" t="s">
        <v>109</v>
      </c>
      <c r="H5" t="s">
        <v>424</v>
      </c>
      <c r="J5" s="1"/>
      <c r="K5" s="1"/>
      <c r="N5" s="1"/>
      <c r="O5" s="1"/>
      <c r="P5" s="1"/>
      <c r="Q5" s="1"/>
      <c r="R5" s="1"/>
      <c r="S5" s="1"/>
      <c r="T5" s="1"/>
      <c r="U5" s="1"/>
    </row>
    <row r="6" spans="1:21" ht="15" x14ac:dyDescent="0.25">
      <c r="A6" t="s">
        <v>22</v>
      </c>
      <c r="B6">
        <f>Pout_FB/50</f>
        <v>0.15</v>
      </c>
      <c r="F6" t="s">
        <v>110</v>
      </c>
      <c r="G6" t="s">
        <v>110</v>
      </c>
      <c r="H6" t="s">
        <v>425</v>
      </c>
      <c r="J6" s="1"/>
      <c r="K6" s="1"/>
      <c r="N6" s="1"/>
      <c r="O6" s="1"/>
      <c r="P6" s="1"/>
      <c r="Q6" s="1"/>
      <c r="R6" s="1"/>
      <c r="S6" s="1"/>
      <c r="T6" s="1"/>
      <c r="U6" s="1"/>
    </row>
    <row r="7" spans="1:21" ht="15" x14ac:dyDescent="0.25">
      <c r="A7" t="s">
        <v>78</v>
      </c>
      <c r="B7">
        <f>4*PI()*(10^(-7))</f>
        <v>1.2566370614359173E-6</v>
      </c>
      <c r="F7" t="s">
        <v>514</v>
      </c>
      <c r="G7" t="s">
        <v>514</v>
      </c>
      <c r="H7" t="s">
        <v>426</v>
      </c>
      <c r="J7" s="1"/>
      <c r="K7" s="1"/>
      <c r="N7" s="1"/>
      <c r="O7" s="1"/>
      <c r="P7" s="1"/>
      <c r="Q7" s="1"/>
      <c r="R7" s="1"/>
      <c r="S7" s="1"/>
      <c r="T7" s="1"/>
      <c r="U7" s="1"/>
    </row>
    <row r="8" spans="1:21" x14ac:dyDescent="0.55000000000000004">
      <c r="A8" t="s">
        <v>227</v>
      </c>
      <c r="B8" s="2">
        <f>1.724*(10^-6)</f>
        <v>1.7239999999999999E-6</v>
      </c>
      <c r="C8" s="17" t="s">
        <v>142</v>
      </c>
      <c r="H8" t="s">
        <v>960</v>
      </c>
      <c r="J8" s="1"/>
      <c r="K8" s="1"/>
      <c r="N8" s="1"/>
      <c r="O8" s="1"/>
      <c r="P8" s="1"/>
      <c r="Q8" s="1"/>
      <c r="R8" s="1"/>
      <c r="S8" s="1"/>
      <c r="T8" s="1"/>
      <c r="U8" s="1"/>
    </row>
    <row r="9" spans="1:21" x14ac:dyDescent="0.55000000000000004">
      <c r="A9" t="s">
        <v>228</v>
      </c>
      <c r="B9" s="2">
        <f>2.3*(10^-6)</f>
        <v>2.2999999999999996E-6</v>
      </c>
      <c r="C9" s="17" t="s">
        <v>142</v>
      </c>
      <c r="J9" s="1"/>
      <c r="K9" s="1"/>
      <c r="N9" s="1"/>
      <c r="O9" s="1"/>
      <c r="P9" s="1"/>
      <c r="Q9" s="1"/>
      <c r="R9" s="1"/>
      <c r="S9" s="1"/>
      <c r="T9" s="1"/>
      <c r="U9" s="1"/>
    </row>
    <row r="10" spans="1:21" ht="15" x14ac:dyDescent="0.25">
      <c r="A10" t="s">
        <v>546</v>
      </c>
      <c r="B10" s="217">
        <f>30*(10^-9)</f>
        <v>3.0000000000000004E-8</v>
      </c>
      <c r="C10" t="s">
        <v>547</v>
      </c>
      <c r="J10" s="1"/>
      <c r="K10" s="1"/>
      <c r="N10" s="1"/>
      <c r="O10" s="1"/>
      <c r="P10" s="1"/>
      <c r="Q10" s="1"/>
      <c r="R10" s="277"/>
      <c r="S10" s="1"/>
      <c r="T10" s="1"/>
      <c r="U10" s="1"/>
    </row>
    <row r="11" spans="1:21" ht="15" x14ac:dyDescent="0.25">
      <c r="A11" t="s">
        <v>918</v>
      </c>
      <c r="B11">
        <f>20*10^-9</f>
        <v>2E-8</v>
      </c>
      <c r="C11" t="s">
        <v>913</v>
      </c>
      <c r="D11" s="38"/>
      <c r="J11" s="1"/>
      <c r="K11" s="1"/>
      <c r="L11" s="1"/>
      <c r="M11" s="1"/>
      <c r="N11" s="1"/>
      <c r="O11" s="1"/>
      <c r="P11" s="1"/>
      <c r="Q11" s="1"/>
      <c r="R11" s="1"/>
      <c r="S11" s="1"/>
      <c r="T11" s="1"/>
      <c r="U11" s="1"/>
    </row>
    <row r="12" spans="1:21" ht="15" x14ac:dyDescent="0.25">
      <c r="J12" s="1"/>
      <c r="K12" s="1"/>
      <c r="L12" s="1"/>
      <c r="M12" s="278"/>
      <c r="N12" s="279"/>
      <c r="O12" s="1"/>
      <c r="P12" s="1"/>
      <c r="Q12" s="1"/>
      <c r="R12" s="1"/>
      <c r="S12" s="1"/>
      <c r="T12" s="1"/>
      <c r="U12" s="1"/>
    </row>
    <row r="13" spans="1:21" ht="15" x14ac:dyDescent="0.25">
      <c r="J13" s="1"/>
      <c r="K13" s="1"/>
      <c r="L13" s="1"/>
      <c r="M13" s="1"/>
      <c r="N13" s="1"/>
      <c r="O13" s="1"/>
      <c r="P13" s="1"/>
      <c r="Q13" s="1"/>
      <c r="R13" s="1"/>
      <c r="S13" s="1"/>
      <c r="T13" s="1"/>
      <c r="U13" s="1"/>
    </row>
    <row r="14" spans="1:21" ht="15" x14ac:dyDescent="0.25">
      <c r="J14" s="1"/>
      <c r="K14" s="1"/>
      <c r="L14" s="1"/>
      <c r="M14" s="1"/>
      <c r="N14" s="1"/>
      <c r="O14" s="1"/>
      <c r="P14" s="1"/>
      <c r="Q14" s="1"/>
      <c r="R14" s="1"/>
      <c r="S14" s="1"/>
      <c r="T14" s="1"/>
      <c r="U14" s="1"/>
    </row>
    <row r="15" spans="1:21" ht="15" x14ac:dyDescent="0.25">
      <c r="J15" s="1"/>
      <c r="K15" s="1"/>
      <c r="L15" s="1"/>
      <c r="M15" s="1"/>
      <c r="N15" s="1"/>
      <c r="O15" s="1"/>
      <c r="P15" s="1"/>
      <c r="Q15" s="1"/>
      <c r="R15" s="1"/>
      <c r="S15" s="1"/>
      <c r="T15" s="1"/>
      <c r="U15" s="1"/>
    </row>
    <row r="16" spans="1:21" ht="15" x14ac:dyDescent="0.25">
      <c r="J16" s="1"/>
      <c r="K16" s="1"/>
      <c r="L16" s="278"/>
      <c r="M16" s="280"/>
      <c r="N16" s="280"/>
      <c r="O16" s="280"/>
      <c r="P16" s="280"/>
      <c r="Q16" s="1"/>
      <c r="R16" s="1"/>
      <c r="S16" s="1"/>
      <c r="T16" s="1"/>
      <c r="U16" s="1"/>
    </row>
    <row r="17" spans="10:21" ht="15" x14ac:dyDescent="0.25">
      <c r="J17" s="1"/>
      <c r="K17" s="1"/>
      <c r="L17" s="278"/>
      <c r="M17" s="280"/>
      <c r="N17" s="280"/>
      <c r="O17" s="280"/>
      <c r="P17" s="280"/>
      <c r="Q17" s="1"/>
      <c r="R17" s="1"/>
      <c r="S17" s="1"/>
      <c r="T17" s="1"/>
      <c r="U17" s="1"/>
    </row>
    <row r="18" spans="10:21" ht="15" x14ac:dyDescent="0.25">
      <c r="J18" s="1"/>
      <c r="K18" s="1"/>
      <c r="L18" s="278"/>
      <c r="M18" s="280"/>
      <c r="N18" s="280"/>
      <c r="O18" s="280"/>
      <c r="P18" s="280"/>
      <c r="Q18" s="1"/>
      <c r="R18" s="1"/>
      <c r="S18" s="1"/>
      <c r="T18" s="1"/>
      <c r="U18" s="1"/>
    </row>
    <row r="19" spans="10:21" ht="15" x14ac:dyDescent="0.25">
      <c r="J19" s="1"/>
      <c r="K19" s="1"/>
      <c r="L19" s="278"/>
      <c r="M19" s="281"/>
      <c r="N19" s="280"/>
      <c r="O19" s="280"/>
      <c r="P19" s="280"/>
      <c r="Q19" s="1"/>
      <c r="R19" s="1"/>
      <c r="S19" s="1"/>
      <c r="T19" s="1"/>
      <c r="U19" s="1"/>
    </row>
    <row r="20" spans="10:21" ht="15" x14ac:dyDescent="0.25">
      <c r="J20" s="1"/>
      <c r="K20" s="282"/>
      <c r="L20" s="1"/>
      <c r="M20" s="281"/>
      <c r="N20" s="280"/>
      <c r="O20" s="280"/>
      <c r="P20" s="280"/>
      <c r="Q20" s="1"/>
      <c r="R20" s="1"/>
      <c r="S20" s="1"/>
      <c r="T20" s="1"/>
      <c r="U20" s="1"/>
    </row>
    <row r="21" spans="10:21" ht="15" x14ac:dyDescent="0.25">
      <c r="J21" s="1"/>
      <c r="K21" s="282"/>
      <c r="L21" s="1"/>
      <c r="M21" s="281"/>
      <c r="N21" s="281"/>
      <c r="O21" s="281"/>
      <c r="P21" s="281"/>
      <c r="Q21" s="1"/>
      <c r="R21" s="1"/>
      <c r="S21" s="1"/>
      <c r="T21" s="1"/>
      <c r="U21" s="1"/>
    </row>
    <row r="22" spans="10:21" ht="15" x14ac:dyDescent="0.25">
      <c r="J22" s="1"/>
      <c r="K22" s="282"/>
      <c r="L22" s="1"/>
      <c r="M22" s="281"/>
      <c r="N22" s="281"/>
      <c r="O22" s="281"/>
      <c r="P22" s="281"/>
      <c r="Q22" s="1"/>
      <c r="R22" s="1"/>
      <c r="S22" s="1"/>
      <c r="T22" s="1"/>
      <c r="U22" s="1"/>
    </row>
    <row r="23" spans="10:21" ht="15" x14ac:dyDescent="0.25">
      <c r="J23" s="1"/>
      <c r="K23" s="282"/>
      <c r="L23" s="1"/>
      <c r="M23" s="281"/>
      <c r="N23" s="281"/>
      <c r="O23" s="281"/>
      <c r="P23" s="281"/>
      <c r="Q23" s="1"/>
      <c r="R23" s="1"/>
      <c r="S23" s="1"/>
      <c r="T23" s="1"/>
      <c r="U23" s="1"/>
    </row>
    <row r="24" spans="10:21" ht="15" x14ac:dyDescent="0.25">
      <c r="J24" s="1"/>
      <c r="K24" s="282"/>
      <c r="L24" s="1"/>
      <c r="M24" s="281"/>
      <c r="N24" s="281"/>
      <c r="O24" s="281"/>
      <c r="P24" s="281"/>
      <c r="Q24" s="1"/>
      <c r="R24" s="1"/>
      <c r="S24" s="1"/>
      <c r="T24" s="1"/>
      <c r="U24" s="1"/>
    </row>
    <row r="25" spans="10:21" ht="15" x14ac:dyDescent="0.25">
      <c r="J25" s="1"/>
      <c r="K25" s="282"/>
      <c r="L25" s="1"/>
      <c r="M25" s="281"/>
      <c r="N25" s="281"/>
      <c r="O25" s="281"/>
      <c r="P25" s="281"/>
      <c r="Q25" s="1"/>
      <c r="R25" s="1"/>
      <c r="S25" s="1"/>
      <c r="T25" s="1"/>
      <c r="U25" s="1"/>
    </row>
    <row r="26" spans="10:21" ht="15" x14ac:dyDescent="0.25">
      <c r="J26" s="1"/>
      <c r="K26" s="282"/>
      <c r="L26" s="1"/>
      <c r="M26" s="281"/>
      <c r="N26" s="281"/>
      <c r="O26" s="281"/>
      <c r="P26" s="281"/>
      <c r="Q26" s="1"/>
      <c r="R26" s="1"/>
      <c r="S26" s="1"/>
      <c r="T26" s="1"/>
      <c r="U26" s="1"/>
    </row>
    <row r="27" spans="10:21" ht="15" x14ac:dyDescent="0.25">
      <c r="J27" s="1"/>
      <c r="K27" s="282"/>
      <c r="L27" s="1"/>
      <c r="M27" s="281"/>
      <c r="N27" s="281"/>
      <c r="O27" s="281"/>
      <c r="P27" s="281"/>
      <c r="Q27" s="1"/>
      <c r="R27" s="1"/>
      <c r="S27" s="1"/>
      <c r="T27" s="1"/>
      <c r="U27" s="1"/>
    </row>
    <row r="28" spans="10:21" ht="15" x14ac:dyDescent="0.25">
      <c r="J28" s="1"/>
      <c r="K28" s="282"/>
      <c r="L28" s="1"/>
      <c r="M28" s="281"/>
      <c r="N28" s="281"/>
      <c r="O28" s="281"/>
      <c r="P28" s="281"/>
      <c r="Q28" s="1"/>
      <c r="R28" s="1"/>
      <c r="S28" s="1"/>
      <c r="T28" s="1"/>
      <c r="U28" s="1"/>
    </row>
    <row r="29" spans="10:21" ht="15" x14ac:dyDescent="0.25">
      <c r="J29" s="1"/>
      <c r="K29" s="282"/>
      <c r="L29" s="1"/>
      <c r="M29" s="281"/>
      <c r="N29" s="281"/>
      <c r="O29" s="281"/>
      <c r="P29" s="281"/>
      <c r="Q29" s="1"/>
      <c r="R29" s="1"/>
      <c r="S29" s="1"/>
      <c r="T29" s="1"/>
      <c r="U29" s="1"/>
    </row>
    <row r="30" spans="10:21" x14ac:dyDescent="0.55000000000000004">
      <c r="J30" s="1"/>
      <c r="K30" s="282"/>
      <c r="L30" s="1"/>
      <c r="M30" s="281"/>
      <c r="N30" s="281"/>
      <c r="O30" s="281"/>
      <c r="P30" s="281"/>
      <c r="Q30" s="1"/>
      <c r="R30" s="1"/>
      <c r="S30" s="1"/>
      <c r="T30" s="1"/>
      <c r="U30" s="1"/>
    </row>
    <row r="31" spans="10:21" x14ac:dyDescent="0.55000000000000004">
      <c r="J31" s="1"/>
      <c r="K31" s="282"/>
      <c r="L31" s="1"/>
      <c r="M31" s="281"/>
      <c r="N31" s="281"/>
      <c r="O31" s="281"/>
      <c r="P31" s="281"/>
      <c r="Q31" s="1"/>
      <c r="R31" s="1"/>
      <c r="S31" s="1"/>
      <c r="T31" s="1"/>
      <c r="U31" s="1"/>
    </row>
    <row r="32" spans="10:21" x14ac:dyDescent="0.55000000000000004">
      <c r="J32" s="1"/>
      <c r="K32" s="282"/>
      <c r="L32" s="1"/>
      <c r="M32" s="281"/>
      <c r="N32" s="281"/>
      <c r="O32" s="281"/>
      <c r="P32" s="281"/>
      <c r="Q32" s="1"/>
      <c r="R32" s="1"/>
      <c r="S32" s="1"/>
      <c r="T32" s="1"/>
      <c r="U32" s="1"/>
    </row>
    <row r="33" spans="10:21" x14ac:dyDescent="0.55000000000000004">
      <c r="J33" s="1"/>
      <c r="K33" s="282"/>
      <c r="L33" s="1"/>
      <c r="M33" s="281"/>
      <c r="N33" s="281"/>
      <c r="O33" s="281"/>
      <c r="P33" s="281"/>
      <c r="Q33" s="1"/>
      <c r="R33" s="1"/>
      <c r="S33" s="1"/>
      <c r="T33" s="1"/>
      <c r="U33" s="1"/>
    </row>
    <row r="34" spans="10:21" x14ac:dyDescent="0.55000000000000004">
      <c r="J34" s="1"/>
      <c r="K34" s="282"/>
      <c r="L34" s="1"/>
      <c r="M34" s="281"/>
      <c r="N34" s="281"/>
      <c r="O34" s="281"/>
      <c r="P34" s="281"/>
      <c r="Q34" s="1"/>
      <c r="R34" s="1"/>
      <c r="S34" s="1"/>
      <c r="T34" s="1"/>
      <c r="U34" s="1"/>
    </row>
    <row r="35" spans="10:21" x14ac:dyDescent="0.55000000000000004">
      <c r="J35" s="1"/>
      <c r="K35" s="282"/>
      <c r="L35" s="1"/>
      <c r="M35" s="280"/>
      <c r="N35" s="281"/>
      <c r="O35" s="281"/>
      <c r="P35" s="281"/>
      <c r="Q35" s="1"/>
      <c r="R35" s="1"/>
      <c r="S35" s="1"/>
      <c r="T35" s="1"/>
      <c r="U35" s="1"/>
    </row>
    <row r="36" spans="10:21" x14ac:dyDescent="0.55000000000000004">
      <c r="J36" s="1"/>
      <c r="K36" s="282"/>
      <c r="L36" s="1"/>
      <c r="M36" s="280"/>
      <c r="N36" s="281"/>
      <c r="O36" s="281"/>
      <c r="P36" s="281"/>
      <c r="Q36" s="1"/>
      <c r="R36" s="1"/>
      <c r="S36" s="1"/>
      <c r="T36" s="1"/>
      <c r="U36" s="1"/>
    </row>
  </sheetData>
  <mergeCells count="1">
    <mergeCell ref="F2:H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E19" sqref="E19"/>
    </sheetView>
  </sheetViews>
  <sheetFormatPr defaultRowHeight="14.4" x14ac:dyDescent="0.55000000000000004"/>
  <cols>
    <col min="1" max="1" width="11.578125" customWidth="1"/>
    <col min="3" max="3" width="53.26171875" style="4" customWidth="1"/>
  </cols>
  <sheetData>
    <row r="3" spans="1:3" ht="15" x14ac:dyDescent="0.25">
      <c r="A3" t="s">
        <v>40</v>
      </c>
      <c r="B3" t="s">
        <v>41</v>
      </c>
      <c r="C3" s="4" t="s">
        <v>42</v>
      </c>
    </row>
    <row r="4" spans="1:3" ht="15" x14ac:dyDescent="0.25">
      <c r="A4" s="3">
        <v>42212</v>
      </c>
      <c r="B4" t="s">
        <v>43</v>
      </c>
      <c r="C4" s="4" t="s">
        <v>44</v>
      </c>
    </row>
    <row r="5" spans="1:3" ht="15" x14ac:dyDescent="0.25">
      <c r="A5" s="3">
        <v>42244</v>
      </c>
      <c r="B5" t="s">
        <v>859</v>
      </c>
      <c r="C5" s="4" t="s">
        <v>860</v>
      </c>
    </row>
    <row r="6" spans="1:3" ht="15" x14ac:dyDescent="0.25">
      <c r="C6" s="4" t="s">
        <v>861</v>
      </c>
    </row>
    <row r="7" spans="1:3" ht="15" x14ac:dyDescent="0.25">
      <c r="C7" s="4" t="s">
        <v>862</v>
      </c>
    </row>
    <row r="8" spans="1:3" ht="15" x14ac:dyDescent="0.25">
      <c r="A8" s="3">
        <v>42259</v>
      </c>
      <c r="B8" t="s">
        <v>43</v>
      </c>
      <c r="C8" s="4" t="s">
        <v>863</v>
      </c>
    </row>
    <row r="9" spans="1:3" ht="15" x14ac:dyDescent="0.25">
      <c r="A9" s="3">
        <v>42282</v>
      </c>
      <c r="B9" t="s">
        <v>43</v>
      </c>
      <c r="C9" s="4" t="s">
        <v>864</v>
      </c>
    </row>
    <row r="10" spans="1:3" ht="15" x14ac:dyDescent="0.25">
      <c r="A10" s="3">
        <v>42289</v>
      </c>
      <c r="B10" t="s">
        <v>43</v>
      </c>
      <c r="C10" s="4" t="s">
        <v>865</v>
      </c>
    </row>
    <row r="11" spans="1:3" ht="20.25" customHeight="1" x14ac:dyDescent="0.25">
      <c r="A11" s="3">
        <v>42295</v>
      </c>
      <c r="B11" t="s">
        <v>43</v>
      </c>
      <c r="C11" s="4" t="s">
        <v>866</v>
      </c>
    </row>
    <row r="12" spans="1:3" ht="15" x14ac:dyDescent="0.25">
      <c r="A12" s="3">
        <v>42374</v>
      </c>
      <c r="B12" t="s">
        <v>43</v>
      </c>
      <c r="C12" s="4" t="s">
        <v>933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78"/>
  <sheetViews>
    <sheetView workbookViewId="0">
      <selection activeCell="A6" sqref="A6:G7"/>
    </sheetView>
  </sheetViews>
  <sheetFormatPr defaultColWidth="9.15625" defaultRowHeight="12.3" x14ac:dyDescent="0.4"/>
  <cols>
    <col min="1" max="1" width="9.15625" style="264"/>
    <col min="2" max="2" width="19.68359375" style="264" customWidth="1"/>
    <col min="3" max="6" width="11.68359375" style="264" customWidth="1"/>
    <col min="7" max="7" width="9.15625" style="264"/>
    <col min="8" max="8" width="13.41796875" style="264" customWidth="1"/>
    <col min="9" max="9" width="9.15625" style="264"/>
    <col min="10" max="10" width="10.15625" style="264" bestFit="1" customWidth="1"/>
    <col min="11" max="16384" width="9.15625" style="264"/>
  </cols>
  <sheetData>
    <row r="1" spans="1:8" ht="15" x14ac:dyDescent="0.25">
      <c r="A1" s="264" t="s">
        <v>831</v>
      </c>
      <c r="H1" s="263">
        <v>41968</v>
      </c>
    </row>
    <row r="2" spans="1:8" ht="12.75" x14ac:dyDescent="0.2">
      <c r="A2" s="265" t="s">
        <v>830</v>
      </c>
      <c r="B2" s="265"/>
      <c r="C2" s="264" t="s">
        <v>829</v>
      </c>
      <c r="D2" s="264">
        <v>12</v>
      </c>
    </row>
    <row r="3" spans="1:8" ht="15" x14ac:dyDescent="0.25">
      <c r="B3" s="264" t="s">
        <v>828</v>
      </c>
      <c r="C3" s="266" t="s">
        <v>827</v>
      </c>
      <c r="D3" s="267">
        <v>0.9</v>
      </c>
      <c r="G3" s="264">
        <f>0.9*0.8*0.5</f>
        <v>0.36000000000000004</v>
      </c>
    </row>
    <row r="4" spans="1:8" ht="12.75" x14ac:dyDescent="0.2">
      <c r="C4" s="264" t="s">
        <v>826</v>
      </c>
      <c r="D4" s="268">
        <v>0.5</v>
      </c>
      <c r="E4" s="264" t="s">
        <v>825</v>
      </c>
    </row>
    <row r="5" spans="1:8" ht="12.75" x14ac:dyDescent="0.2">
      <c r="C5" s="264" t="s">
        <v>824</v>
      </c>
      <c r="D5" s="264">
        <v>20</v>
      </c>
    </row>
    <row r="6" spans="1:8" x14ac:dyDescent="0.4">
      <c r="A6" s="577" t="s">
        <v>832</v>
      </c>
      <c r="B6" s="577"/>
      <c r="C6" s="577"/>
      <c r="D6" s="577"/>
      <c r="E6" s="577"/>
      <c r="F6" s="577"/>
      <c r="G6" s="577"/>
    </row>
    <row r="7" spans="1:8" x14ac:dyDescent="0.4">
      <c r="A7" s="577"/>
      <c r="B7" s="577"/>
      <c r="C7" s="577"/>
      <c r="D7" s="577"/>
      <c r="E7" s="577"/>
      <c r="F7" s="577"/>
      <c r="G7" s="577"/>
    </row>
    <row r="8" spans="1:8" ht="12.75" x14ac:dyDescent="0.2">
      <c r="B8" s="266" t="s">
        <v>823</v>
      </c>
      <c r="C8" s="269" t="s">
        <v>514</v>
      </c>
      <c r="D8" s="269" t="s">
        <v>108</v>
      </c>
      <c r="E8" s="269" t="s">
        <v>109</v>
      </c>
      <c r="F8" s="269" t="s">
        <v>110</v>
      </c>
    </row>
    <row r="9" spans="1:8" ht="12.75" x14ac:dyDescent="0.2">
      <c r="B9" s="266" t="s">
        <v>822</v>
      </c>
      <c r="C9" s="269">
        <v>1.5</v>
      </c>
      <c r="D9" s="269">
        <v>0.6</v>
      </c>
      <c r="E9" s="269">
        <v>0.3</v>
      </c>
      <c r="F9" s="269">
        <v>0.1</v>
      </c>
      <c r="G9" s="264" t="s">
        <v>821</v>
      </c>
    </row>
    <row r="10" spans="1:8" ht="12.75" x14ac:dyDescent="0.2">
      <c r="B10" s="266" t="s">
        <v>820</v>
      </c>
      <c r="C10" s="269"/>
      <c r="D10" s="269"/>
      <c r="E10" s="269"/>
      <c r="F10" s="269"/>
    </row>
    <row r="11" spans="1:8" ht="12.75" x14ac:dyDescent="0.2">
      <c r="B11" s="266">
        <v>4.5</v>
      </c>
      <c r="C11" s="270">
        <f t="shared" ref="C11:C26" si="0">IF($B11&lt;$D$2,Eff*C$9*Vpri*$B11, Eff*C$9*(Vpmax*$B11/(Vpmax+$B11)))</f>
        <v>3.0375000000000001</v>
      </c>
      <c r="D11" s="269"/>
      <c r="E11" s="269"/>
      <c r="F11" s="269"/>
    </row>
    <row r="12" spans="1:8" ht="12.75" x14ac:dyDescent="0.2">
      <c r="A12" s="271">
        <f t="shared" ref="A12:A28" si="1">B12/4/(0.000022*400000)</f>
        <v>0.17045454545454547</v>
      </c>
      <c r="B12" s="264">
        <v>6</v>
      </c>
      <c r="C12" s="270">
        <f t="shared" si="0"/>
        <v>4.0500000000000007</v>
      </c>
      <c r="D12" s="272"/>
      <c r="E12" s="272"/>
      <c r="F12" s="272"/>
    </row>
    <row r="13" spans="1:8" ht="12.75" x14ac:dyDescent="0.2">
      <c r="A13" s="271">
        <f t="shared" si="1"/>
        <v>0.21306818181818185</v>
      </c>
      <c r="B13" s="264">
        <v>7.5</v>
      </c>
      <c r="C13" s="270">
        <f t="shared" si="0"/>
        <v>5.0625</v>
      </c>
      <c r="D13" s="270">
        <f t="shared" ref="D13:F28" si="2">IF($B13&lt;$D$2,Eff*D$9*Vpri*$B13, Eff*D$9*(Vpmax*$B13/(Vpmax+$B13)))</f>
        <v>2.0250000000000004</v>
      </c>
      <c r="E13" s="270">
        <f t="shared" si="2"/>
        <v>1.0125000000000002</v>
      </c>
      <c r="F13" s="270">
        <f t="shared" si="2"/>
        <v>0.33750000000000002</v>
      </c>
    </row>
    <row r="14" spans="1:8" ht="12.75" x14ac:dyDescent="0.2">
      <c r="A14" s="271">
        <f t="shared" si="1"/>
        <v>0.28409090909090912</v>
      </c>
      <c r="B14" s="264">
        <v>10</v>
      </c>
      <c r="C14" s="270">
        <f t="shared" si="0"/>
        <v>6.75</v>
      </c>
      <c r="D14" s="270">
        <f t="shared" si="2"/>
        <v>2.7</v>
      </c>
      <c r="E14" s="270">
        <f t="shared" si="2"/>
        <v>1.35</v>
      </c>
      <c r="F14" s="270">
        <f t="shared" si="2"/>
        <v>0.45000000000000007</v>
      </c>
    </row>
    <row r="15" spans="1:8" ht="12.75" x14ac:dyDescent="0.2">
      <c r="A15" s="271">
        <f t="shared" si="1"/>
        <v>0.36931818181818188</v>
      </c>
      <c r="B15" s="264">
        <v>13</v>
      </c>
      <c r="C15" s="270">
        <f t="shared" si="0"/>
        <v>8.4240000000000013</v>
      </c>
      <c r="D15" s="270">
        <f t="shared" si="2"/>
        <v>3.3696000000000002</v>
      </c>
      <c r="E15" s="270">
        <f t="shared" si="2"/>
        <v>1.6848000000000001</v>
      </c>
      <c r="F15" s="270">
        <f t="shared" si="2"/>
        <v>0.5616000000000001</v>
      </c>
    </row>
    <row r="16" spans="1:8" ht="12.75" x14ac:dyDescent="0.2">
      <c r="A16" s="271">
        <f t="shared" si="1"/>
        <v>0.51136363636363646</v>
      </c>
      <c r="B16" s="264">
        <v>18</v>
      </c>
      <c r="C16" s="270">
        <f t="shared" si="0"/>
        <v>9.7200000000000006</v>
      </c>
      <c r="D16" s="270">
        <f t="shared" si="2"/>
        <v>3.8880000000000003</v>
      </c>
      <c r="E16" s="270">
        <f t="shared" si="2"/>
        <v>1.9440000000000002</v>
      </c>
      <c r="F16" s="270">
        <f t="shared" si="2"/>
        <v>0.64800000000000013</v>
      </c>
    </row>
    <row r="17" spans="1:7" ht="12.75" x14ac:dyDescent="0.2">
      <c r="A17" s="271">
        <f t="shared" si="1"/>
        <v>0.56818181818181823</v>
      </c>
      <c r="B17" s="264">
        <v>20</v>
      </c>
      <c r="C17" s="270">
        <f t="shared" si="0"/>
        <v>10.125</v>
      </c>
      <c r="D17" s="270">
        <f t="shared" si="2"/>
        <v>4.0500000000000007</v>
      </c>
      <c r="E17" s="270">
        <f t="shared" si="2"/>
        <v>2.0250000000000004</v>
      </c>
      <c r="F17" s="270">
        <f t="shared" si="2"/>
        <v>0.67500000000000004</v>
      </c>
    </row>
    <row r="18" spans="1:7" ht="12.75" x14ac:dyDescent="0.2">
      <c r="A18" s="271">
        <f t="shared" si="1"/>
        <v>0.68181818181818188</v>
      </c>
      <c r="B18" s="264">
        <v>24</v>
      </c>
      <c r="C18" s="270">
        <f t="shared" si="0"/>
        <v>10.8</v>
      </c>
      <c r="D18" s="270">
        <f t="shared" si="2"/>
        <v>4.32</v>
      </c>
      <c r="E18" s="270">
        <f t="shared" si="2"/>
        <v>2.16</v>
      </c>
      <c r="F18" s="270">
        <f t="shared" si="2"/>
        <v>0.72000000000000008</v>
      </c>
    </row>
    <row r="19" spans="1:7" ht="12.75" x14ac:dyDescent="0.2">
      <c r="A19" s="271">
        <f t="shared" si="1"/>
        <v>0.8522727272727274</v>
      </c>
      <c r="B19" s="264">
        <v>30</v>
      </c>
      <c r="C19" s="270">
        <f t="shared" si="0"/>
        <v>11.571428571428571</v>
      </c>
      <c r="D19" s="270">
        <f t="shared" si="2"/>
        <v>4.628571428571429</v>
      </c>
      <c r="E19" s="270">
        <f t="shared" si="2"/>
        <v>2.3142857142857145</v>
      </c>
      <c r="F19" s="270">
        <f t="shared" si="2"/>
        <v>0.77142857142857146</v>
      </c>
    </row>
    <row r="20" spans="1:7" ht="12.75" x14ac:dyDescent="0.2">
      <c r="A20" s="271">
        <f t="shared" si="1"/>
        <v>1.0227272727272729</v>
      </c>
      <c r="B20" s="264">
        <v>36</v>
      </c>
      <c r="C20" s="270">
        <f t="shared" si="0"/>
        <v>12.15</v>
      </c>
      <c r="D20" s="270">
        <f t="shared" si="2"/>
        <v>4.8600000000000003</v>
      </c>
      <c r="E20" s="270">
        <f t="shared" si="2"/>
        <v>2.4300000000000002</v>
      </c>
      <c r="F20" s="270">
        <f t="shared" si="2"/>
        <v>0.81</v>
      </c>
    </row>
    <row r="21" spans="1:7" ht="12.75" x14ac:dyDescent="0.2">
      <c r="A21" s="271">
        <f t="shared" si="1"/>
        <v>1.1363636363636365</v>
      </c>
      <c r="B21" s="264">
        <v>40</v>
      </c>
      <c r="C21" s="270">
        <f t="shared" si="0"/>
        <v>12.461538461538462</v>
      </c>
      <c r="D21" s="270">
        <f t="shared" si="2"/>
        <v>4.9846153846153847</v>
      </c>
      <c r="E21" s="270">
        <f t="shared" si="2"/>
        <v>2.4923076923076923</v>
      </c>
      <c r="F21" s="270">
        <f t="shared" si="2"/>
        <v>0.83076923076923082</v>
      </c>
    </row>
    <row r="22" spans="1:7" ht="12.75" x14ac:dyDescent="0.2">
      <c r="A22" s="271">
        <f t="shared" si="1"/>
        <v>1.1931818181818183</v>
      </c>
      <c r="B22" s="264">
        <v>42</v>
      </c>
      <c r="C22" s="270">
        <f t="shared" si="0"/>
        <v>12.600000000000001</v>
      </c>
      <c r="D22" s="270">
        <f t="shared" si="2"/>
        <v>5.0400000000000009</v>
      </c>
      <c r="E22" s="270">
        <f t="shared" si="2"/>
        <v>2.5200000000000005</v>
      </c>
      <c r="F22" s="270">
        <f t="shared" si="2"/>
        <v>0.84000000000000019</v>
      </c>
    </row>
    <row r="23" spans="1:7" ht="12.75" x14ac:dyDescent="0.2">
      <c r="A23" s="271">
        <f t="shared" si="1"/>
        <v>1.3636363636363638</v>
      </c>
      <c r="B23" s="264">
        <v>48</v>
      </c>
      <c r="C23" s="270">
        <f t="shared" si="0"/>
        <v>12.96</v>
      </c>
      <c r="D23" s="270">
        <f t="shared" si="2"/>
        <v>5.1840000000000002</v>
      </c>
      <c r="E23" s="270">
        <f t="shared" si="2"/>
        <v>2.5920000000000001</v>
      </c>
      <c r="F23" s="270">
        <f t="shared" si="2"/>
        <v>0.8640000000000001</v>
      </c>
    </row>
    <row r="24" spans="1:7" ht="12.75" x14ac:dyDescent="0.2">
      <c r="A24" s="271">
        <f t="shared" si="1"/>
        <v>1.5625000000000002</v>
      </c>
      <c r="B24" s="264">
        <v>55</v>
      </c>
      <c r="C24" s="270">
        <f t="shared" si="0"/>
        <v>13.298507462686567</v>
      </c>
      <c r="D24" s="270">
        <f t="shared" si="2"/>
        <v>5.3194029850746265</v>
      </c>
      <c r="E24" s="270">
        <f t="shared" si="2"/>
        <v>2.6597014925373132</v>
      </c>
      <c r="F24" s="270">
        <f t="shared" si="2"/>
        <v>0.88656716417910453</v>
      </c>
    </row>
    <row r="25" spans="1:7" ht="12.75" x14ac:dyDescent="0.2">
      <c r="A25" s="271">
        <f t="shared" si="1"/>
        <v>1.7045454545454548</v>
      </c>
      <c r="B25" s="264">
        <v>60</v>
      </c>
      <c r="C25" s="270">
        <f t="shared" si="0"/>
        <v>13.5</v>
      </c>
      <c r="D25" s="270">
        <f t="shared" si="2"/>
        <v>5.4</v>
      </c>
      <c r="E25" s="270">
        <f t="shared" si="2"/>
        <v>2.7</v>
      </c>
      <c r="F25" s="270">
        <f t="shared" si="2"/>
        <v>0.90000000000000013</v>
      </c>
    </row>
    <row r="26" spans="1:7" ht="12.75" x14ac:dyDescent="0.2">
      <c r="A26" s="271">
        <f t="shared" si="1"/>
        <v>1.8465909090909094</v>
      </c>
      <c r="B26" s="264">
        <v>65</v>
      </c>
      <c r="C26" s="270">
        <f t="shared" si="0"/>
        <v>13.675324675324676</v>
      </c>
      <c r="D26" s="270">
        <f t="shared" si="2"/>
        <v>5.4701298701298704</v>
      </c>
      <c r="E26" s="270">
        <f t="shared" si="2"/>
        <v>2.7350649350649352</v>
      </c>
      <c r="F26" s="270">
        <f t="shared" si="2"/>
        <v>0.91168831168831177</v>
      </c>
    </row>
    <row r="27" spans="1:7" ht="12.75" x14ac:dyDescent="0.2">
      <c r="A27" s="271">
        <f t="shared" si="1"/>
        <v>1.988636363636364</v>
      </c>
      <c r="B27" s="264">
        <v>70</v>
      </c>
      <c r="C27" s="272"/>
      <c r="D27" s="270">
        <f t="shared" si="2"/>
        <v>5.5317073170731712</v>
      </c>
      <c r="E27" s="270">
        <f t="shared" si="2"/>
        <v>2.7658536585365856</v>
      </c>
      <c r="F27" s="270">
        <f t="shared" si="2"/>
        <v>0.92195121951219527</v>
      </c>
    </row>
    <row r="28" spans="1:7" ht="12.75" x14ac:dyDescent="0.2">
      <c r="A28" s="271">
        <f t="shared" si="1"/>
        <v>2.1306818181818183</v>
      </c>
      <c r="B28" s="264">
        <v>75</v>
      </c>
      <c r="C28" s="272"/>
      <c r="D28" s="270">
        <f t="shared" si="2"/>
        <v>5.5862068965517242</v>
      </c>
      <c r="E28" s="270">
        <f t="shared" si="2"/>
        <v>2.7931034482758621</v>
      </c>
      <c r="F28" s="270">
        <f t="shared" si="2"/>
        <v>0.93103448275862077</v>
      </c>
    </row>
    <row r="31" spans="1:7" x14ac:dyDescent="0.4">
      <c r="A31" s="577" t="s">
        <v>833</v>
      </c>
      <c r="B31" s="577"/>
      <c r="C31" s="577"/>
      <c r="D31" s="577"/>
      <c r="E31" s="577"/>
      <c r="F31" s="577"/>
      <c r="G31" s="577"/>
    </row>
    <row r="32" spans="1:7" x14ac:dyDescent="0.4">
      <c r="A32" s="577"/>
      <c r="B32" s="577"/>
      <c r="C32" s="577"/>
      <c r="D32" s="577"/>
      <c r="E32" s="577"/>
      <c r="F32" s="577"/>
      <c r="G32" s="577"/>
    </row>
    <row r="33" spans="1:7" ht="12.75" x14ac:dyDescent="0.2">
      <c r="B33" s="266" t="s">
        <v>823</v>
      </c>
      <c r="C33" s="269" t="s">
        <v>514</v>
      </c>
      <c r="D33" s="269" t="s">
        <v>108</v>
      </c>
      <c r="E33" s="269" t="s">
        <v>109</v>
      </c>
      <c r="F33" s="269" t="s">
        <v>110</v>
      </c>
    </row>
    <row r="34" spans="1:7" ht="12.75" x14ac:dyDescent="0.2">
      <c r="B34" s="266" t="s">
        <v>822</v>
      </c>
      <c r="C34" s="269">
        <v>1.5</v>
      </c>
      <c r="D34" s="269">
        <v>0.6</v>
      </c>
      <c r="E34" s="269">
        <v>0.3</v>
      </c>
      <c r="F34" s="269">
        <v>0.1</v>
      </c>
      <c r="G34" s="264" t="s">
        <v>821</v>
      </c>
    </row>
    <row r="35" spans="1:7" ht="12.75" x14ac:dyDescent="0.2">
      <c r="B35" s="266" t="s">
        <v>820</v>
      </c>
      <c r="C35" s="269"/>
      <c r="D35" s="269"/>
      <c r="E35" s="269"/>
      <c r="F35" s="269"/>
    </row>
    <row r="36" spans="1:7" ht="12.75" x14ac:dyDescent="0.2">
      <c r="B36" s="266">
        <v>4.5</v>
      </c>
      <c r="C36" s="270">
        <f t="shared" ref="C36:C51" si="3">IF($B36&lt;$D$2,Eff*C$9*Vpri*$B36, Eff*C$9*(Vpmax*$B36/(Vpmax+$B36)))</f>
        <v>3.0375000000000001</v>
      </c>
      <c r="D36" s="269"/>
      <c r="E36" s="269"/>
      <c r="F36" s="269"/>
    </row>
    <row r="37" spans="1:7" ht="12.75" x14ac:dyDescent="0.2">
      <c r="A37" s="271">
        <f t="shared" ref="A37:A53" si="4">B37/4/(0.000022*400000)</f>
        <v>0.17045454545454547</v>
      </c>
      <c r="B37" s="264">
        <v>6</v>
      </c>
      <c r="C37" s="270">
        <f t="shared" si="3"/>
        <v>4.0500000000000007</v>
      </c>
      <c r="D37" s="272"/>
      <c r="E37" s="272"/>
      <c r="F37" s="272"/>
    </row>
    <row r="38" spans="1:7" x14ac:dyDescent="0.4">
      <c r="A38" s="271">
        <f t="shared" si="4"/>
        <v>0.21306818181818185</v>
      </c>
      <c r="B38" s="264">
        <v>7.5</v>
      </c>
      <c r="C38" s="270">
        <f t="shared" si="3"/>
        <v>5.0625</v>
      </c>
      <c r="D38" s="270">
        <f t="shared" ref="D38:F53" si="5">IF($B38&lt;$D$2,Eff*D$9*Vpri*$B38, Eff*D$9*(Vpmax*$B38/(Vpmax+$B38)))</f>
        <v>2.0250000000000004</v>
      </c>
      <c r="E38" s="270">
        <f t="shared" si="5"/>
        <v>1.0125000000000002</v>
      </c>
      <c r="F38" s="270">
        <f t="shared" si="5"/>
        <v>0.33750000000000002</v>
      </c>
    </row>
    <row r="39" spans="1:7" x14ac:dyDescent="0.4">
      <c r="A39" s="271">
        <f t="shared" si="4"/>
        <v>0.28409090909090912</v>
      </c>
      <c r="B39" s="264">
        <v>10</v>
      </c>
      <c r="C39" s="270">
        <f t="shared" si="3"/>
        <v>6.75</v>
      </c>
      <c r="D39" s="270">
        <f t="shared" si="5"/>
        <v>2.7</v>
      </c>
      <c r="E39" s="270">
        <f t="shared" si="5"/>
        <v>1.35</v>
      </c>
      <c r="F39" s="270">
        <f t="shared" si="5"/>
        <v>0.45000000000000007</v>
      </c>
    </row>
    <row r="40" spans="1:7" x14ac:dyDescent="0.4">
      <c r="A40" s="271">
        <f t="shared" si="4"/>
        <v>0.36931818181818188</v>
      </c>
      <c r="B40" s="264">
        <v>13</v>
      </c>
      <c r="C40" s="270">
        <f t="shared" si="3"/>
        <v>8.4240000000000013</v>
      </c>
      <c r="D40" s="270">
        <f t="shared" si="5"/>
        <v>3.3696000000000002</v>
      </c>
      <c r="E40" s="270">
        <f t="shared" si="5"/>
        <v>1.6848000000000001</v>
      </c>
      <c r="F40" s="270">
        <f t="shared" si="5"/>
        <v>0.5616000000000001</v>
      </c>
    </row>
    <row r="41" spans="1:7" x14ac:dyDescent="0.4">
      <c r="A41" s="271">
        <f t="shared" si="4"/>
        <v>0.51136363636363646</v>
      </c>
      <c r="B41" s="264">
        <v>18</v>
      </c>
      <c r="C41" s="270">
        <f t="shared" si="3"/>
        <v>9.7200000000000006</v>
      </c>
      <c r="D41" s="270">
        <f t="shared" si="5"/>
        <v>3.8880000000000003</v>
      </c>
      <c r="E41" s="270">
        <f t="shared" si="5"/>
        <v>1.9440000000000002</v>
      </c>
      <c r="F41" s="270">
        <f t="shared" si="5"/>
        <v>0.64800000000000013</v>
      </c>
    </row>
    <row r="42" spans="1:7" x14ac:dyDescent="0.4">
      <c r="A42" s="271">
        <f t="shared" si="4"/>
        <v>0.56818181818181823</v>
      </c>
      <c r="B42" s="264">
        <v>20</v>
      </c>
      <c r="C42" s="270">
        <f t="shared" si="3"/>
        <v>10.125</v>
      </c>
      <c r="D42" s="270">
        <f t="shared" si="5"/>
        <v>4.0500000000000007</v>
      </c>
      <c r="E42" s="270">
        <f t="shared" si="5"/>
        <v>2.0250000000000004</v>
      </c>
      <c r="F42" s="270">
        <f t="shared" si="5"/>
        <v>0.67500000000000004</v>
      </c>
    </row>
    <row r="43" spans="1:7" x14ac:dyDescent="0.4">
      <c r="A43" s="271">
        <f t="shared" si="4"/>
        <v>0.68181818181818188</v>
      </c>
      <c r="B43" s="264">
        <v>24</v>
      </c>
      <c r="C43" s="270">
        <f t="shared" si="3"/>
        <v>10.8</v>
      </c>
      <c r="D43" s="270">
        <f t="shared" si="5"/>
        <v>4.32</v>
      </c>
      <c r="E43" s="270">
        <f t="shared" si="5"/>
        <v>2.16</v>
      </c>
      <c r="F43" s="270">
        <f t="shared" si="5"/>
        <v>0.72000000000000008</v>
      </c>
    </row>
    <row r="44" spans="1:7" x14ac:dyDescent="0.4">
      <c r="A44" s="271">
        <f t="shared" si="4"/>
        <v>0.8522727272727274</v>
      </c>
      <c r="B44" s="264">
        <v>30</v>
      </c>
      <c r="C44" s="270">
        <f t="shared" si="3"/>
        <v>11.571428571428571</v>
      </c>
      <c r="D44" s="270">
        <f t="shared" si="5"/>
        <v>4.628571428571429</v>
      </c>
      <c r="E44" s="270">
        <f t="shared" si="5"/>
        <v>2.3142857142857145</v>
      </c>
      <c r="F44" s="270">
        <f t="shared" si="5"/>
        <v>0.77142857142857146</v>
      </c>
    </row>
    <row r="45" spans="1:7" x14ac:dyDescent="0.4">
      <c r="A45" s="271">
        <f t="shared" si="4"/>
        <v>1.0227272727272729</v>
      </c>
      <c r="B45" s="264">
        <v>36</v>
      </c>
      <c r="C45" s="270">
        <f t="shared" si="3"/>
        <v>12.15</v>
      </c>
      <c r="D45" s="270">
        <f t="shared" si="5"/>
        <v>4.8600000000000003</v>
      </c>
      <c r="E45" s="270">
        <f t="shared" si="5"/>
        <v>2.4300000000000002</v>
      </c>
      <c r="F45" s="270">
        <f t="shared" si="5"/>
        <v>0.81</v>
      </c>
    </row>
    <row r="46" spans="1:7" x14ac:dyDescent="0.4">
      <c r="A46" s="271">
        <f t="shared" si="4"/>
        <v>1.1363636363636365</v>
      </c>
      <c r="B46" s="264">
        <v>40</v>
      </c>
      <c r="C46" s="270">
        <f t="shared" si="3"/>
        <v>12.461538461538462</v>
      </c>
      <c r="D46" s="270">
        <f t="shared" si="5"/>
        <v>4.9846153846153847</v>
      </c>
      <c r="E46" s="270">
        <f t="shared" si="5"/>
        <v>2.4923076923076923</v>
      </c>
      <c r="F46" s="270">
        <f t="shared" si="5"/>
        <v>0.83076923076923082</v>
      </c>
    </row>
    <row r="47" spans="1:7" x14ac:dyDescent="0.4">
      <c r="A47" s="271">
        <f t="shared" si="4"/>
        <v>1.1931818181818183</v>
      </c>
      <c r="B47" s="264">
        <v>42</v>
      </c>
      <c r="C47" s="270">
        <f t="shared" si="3"/>
        <v>12.600000000000001</v>
      </c>
      <c r="D47" s="270">
        <f t="shared" si="5"/>
        <v>5.0400000000000009</v>
      </c>
      <c r="E47" s="270">
        <f t="shared" si="5"/>
        <v>2.5200000000000005</v>
      </c>
      <c r="F47" s="270">
        <f t="shared" si="5"/>
        <v>0.84000000000000019</v>
      </c>
    </row>
    <row r="48" spans="1:7" x14ac:dyDescent="0.4">
      <c r="A48" s="271">
        <f t="shared" si="4"/>
        <v>1.3636363636363638</v>
      </c>
      <c r="B48" s="264">
        <v>48</v>
      </c>
      <c r="C48" s="270">
        <f t="shared" si="3"/>
        <v>12.96</v>
      </c>
      <c r="D48" s="270">
        <f t="shared" si="5"/>
        <v>5.1840000000000002</v>
      </c>
      <c r="E48" s="270">
        <f t="shared" si="5"/>
        <v>2.5920000000000001</v>
      </c>
      <c r="F48" s="270">
        <f t="shared" si="5"/>
        <v>0.8640000000000001</v>
      </c>
    </row>
    <row r="49" spans="1:7" x14ac:dyDescent="0.4">
      <c r="A49" s="271">
        <f t="shared" si="4"/>
        <v>1.5625000000000002</v>
      </c>
      <c r="B49" s="264">
        <v>55</v>
      </c>
      <c r="C49" s="270">
        <f t="shared" si="3"/>
        <v>13.298507462686567</v>
      </c>
      <c r="D49" s="270">
        <f t="shared" si="5"/>
        <v>5.3194029850746265</v>
      </c>
      <c r="E49" s="270">
        <f t="shared" si="5"/>
        <v>2.6597014925373132</v>
      </c>
      <c r="F49" s="270">
        <f t="shared" si="5"/>
        <v>0.88656716417910453</v>
      </c>
    </row>
    <row r="50" spans="1:7" x14ac:dyDescent="0.4">
      <c r="A50" s="271">
        <f t="shared" si="4"/>
        <v>1.7045454545454548</v>
      </c>
      <c r="B50" s="264">
        <v>60</v>
      </c>
      <c r="C50" s="270">
        <f t="shared" si="3"/>
        <v>13.5</v>
      </c>
      <c r="D50" s="270">
        <f t="shared" si="5"/>
        <v>5.4</v>
      </c>
      <c r="E50" s="270">
        <f t="shared" si="5"/>
        <v>2.7</v>
      </c>
      <c r="F50" s="270">
        <f t="shared" si="5"/>
        <v>0.90000000000000013</v>
      </c>
    </row>
    <row r="51" spans="1:7" x14ac:dyDescent="0.4">
      <c r="A51" s="271">
        <f t="shared" si="4"/>
        <v>1.8465909090909094</v>
      </c>
      <c r="B51" s="264">
        <v>65</v>
      </c>
      <c r="C51" s="270">
        <f t="shared" si="3"/>
        <v>13.675324675324676</v>
      </c>
      <c r="D51" s="270">
        <f t="shared" si="5"/>
        <v>5.4701298701298704</v>
      </c>
      <c r="E51" s="270">
        <f t="shared" si="5"/>
        <v>2.7350649350649352</v>
      </c>
      <c r="F51" s="270">
        <f t="shared" si="5"/>
        <v>0.91168831168831177</v>
      </c>
    </row>
    <row r="52" spans="1:7" x14ac:dyDescent="0.4">
      <c r="A52" s="271">
        <f t="shared" si="4"/>
        <v>1.988636363636364</v>
      </c>
      <c r="B52" s="264">
        <v>70</v>
      </c>
      <c r="C52" s="272"/>
      <c r="D52" s="270">
        <f t="shared" si="5"/>
        <v>5.5317073170731712</v>
      </c>
      <c r="E52" s="270">
        <f t="shared" si="5"/>
        <v>2.7658536585365856</v>
      </c>
      <c r="F52" s="270">
        <f t="shared" si="5"/>
        <v>0.92195121951219527</v>
      </c>
    </row>
    <row r="53" spans="1:7" x14ac:dyDescent="0.4">
      <c r="A53" s="271">
        <f t="shared" si="4"/>
        <v>2.1306818181818183</v>
      </c>
      <c r="B53" s="264">
        <v>75</v>
      </c>
      <c r="C53" s="272"/>
      <c r="D53" s="270">
        <f t="shared" si="5"/>
        <v>5.5862068965517242</v>
      </c>
      <c r="E53" s="270">
        <f t="shared" si="5"/>
        <v>2.7931034482758621</v>
      </c>
      <c r="F53" s="270">
        <f t="shared" si="5"/>
        <v>0.93103448275862077</v>
      </c>
    </row>
    <row r="56" spans="1:7" x14ac:dyDescent="0.4">
      <c r="A56" s="577" t="s">
        <v>834</v>
      </c>
      <c r="B56" s="577"/>
      <c r="C56" s="577"/>
      <c r="D56" s="577"/>
      <c r="E56" s="577"/>
      <c r="F56" s="577"/>
      <c r="G56" s="577"/>
    </row>
    <row r="57" spans="1:7" x14ac:dyDescent="0.4">
      <c r="A57" s="577"/>
      <c r="B57" s="577"/>
      <c r="C57" s="577"/>
      <c r="D57" s="577"/>
      <c r="E57" s="577"/>
      <c r="F57" s="577"/>
      <c r="G57" s="577"/>
    </row>
    <row r="58" spans="1:7" x14ac:dyDescent="0.4">
      <c r="B58" s="266" t="s">
        <v>823</v>
      </c>
      <c r="C58" s="269" t="s">
        <v>514</v>
      </c>
      <c r="D58" s="269" t="s">
        <v>108</v>
      </c>
      <c r="E58" s="269" t="s">
        <v>109</v>
      </c>
      <c r="F58" s="269" t="s">
        <v>110</v>
      </c>
    </row>
    <row r="59" spans="1:7" x14ac:dyDescent="0.4">
      <c r="B59" s="266" t="s">
        <v>822</v>
      </c>
      <c r="C59" s="269">
        <v>1.5</v>
      </c>
      <c r="D59" s="269">
        <v>0.6</v>
      </c>
      <c r="E59" s="269">
        <v>0.3</v>
      </c>
      <c r="F59" s="269">
        <v>0.1</v>
      </c>
      <c r="G59" s="264" t="s">
        <v>821</v>
      </c>
    </row>
    <row r="60" spans="1:7" x14ac:dyDescent="0.4">
      <c r="B60" s="266" t="s">
        <v>820</v>
      </c>
      <c r="C60" s="269"/>
      <c r="D60" s="269"/>
      <c r="E60" s="269"/>
      <c r="F60" s="269"/>
    </row>
    <row r="61" spans="1:7" x14ac:dyDescent="0.4">
      <c r="B61" s="266">
        <v>4.5</v>
      </c>
      <c r="C61" s="270">
        <f t="shared" ref="C61:C76" si="6">IF($B61&lt;$D$2,Eff*C$9*Vpri*$B61, Eff*C$9*(Vpmax*$B61/(Vpmax+$B61)))</f>
        <v>3.0375000000000001</v>
      </c>
      <c r="D61" s="269"/>
      <c r="E61" s="269"/>
      <c r="F61" s="269"/>
    </row>
    <row r="62" spans="1:7" x14ac:dyDescent="0.4">
      <c r="A62" s="271">
        <f t="shared" ref="A62:A78" si="7">B62/4/(0.000022*400000)</f>
        <v>0.17045454545454547</v>
      </c>
      <c r="B62" s="264">
        <v>6</v>
      </c>
      <c r="C62" s="270">
        <f t="shared" si="6"/>
        <v>4.0500000000000007</v>
      </c>
      <c r="D62" s="272"/>
      <c r="E62" s="272"/>
      <c r="F62" s="272"/>
    </row>
    <row r="63" spans="1:7" x14ac:dyDescent="0.4">
      <c r="A63" s="271">
        <f t="shared" si="7"/>
        <v>0.21306818181818185</v>
      </c>
      <c r="B63" s="264">
        <v>7.5</v>
      </c>
      <c r="C63" s="270">
        <f t="shared" si="6"/>
        <v>5.0625</v>
      </c>
      <c r="D63" s="270">
        <f t="shared" ref="D63:F78" si="8">IF($B63&lt;$D$2,Eff*D$9*Vpri*$B63, Eff*D$9*(Vpmax*$B63/(Vpmax+$B63)))</f>
        <v>2.0250000000000004</v>
      </c>
      <c r="E63" s="270">
        <f t="shared" si="8"/>
        <v>1.0125000000000002</v>
      </c>
      <c r="F63" s="270">
        <f t="shared" si="8"/>
        <v>0.33750000000000002</v>
      </c>
    </row>
    <row r="64" spans="1:7" x14ac:dyDescent="0.4">
      <c r="A64" s="271">
        <f t="shared" si="7"/>
        <v>0.28409090909090912</v>
      </c>
      <c r="B64" s="264">
        <v>10</v>
      </c>
      <c r="C64" s="270">
        <f t="shared" si="6"/>
        <v>6.75</v>
      </c>
      <c r="D64" s="270">
        <f t="shared" si="8"/>
        <v>2.7</v>
      </c>
      <c r="E64" s="270">
        <f t="shared" si="8"/>
        <v>1.35</v>
      </c>
      <c r="F64" s="270">
        <f t="shared" si="8"/>
        <v>0.45000000000000007</v>
      </c>
    </row>
    <row r="65" spans="1:6" x14ac:dyDescent="0.4">
      <c r="A65" s="271">
        <f t="shared" si="7"/>
        <v>0.36931818181818188</v>
      </c>
      <c r="B65" s="264">
        <v>13</v>
      </c>
      <c r="C65" s="270">
        <f t="shared" si="6"/>
        <v>8.4240000000000013</v>
      </c>
      <c r="D65" s="270">
        <f t="shared" si="8"/>
        <v>3.3696000000000002</v>
      </c>
      <c r="E65" s="270">
        <f t="shared" si="8"/>
        <v>1.6848000000000001</v>
      </c>
      <c r="F65" s="270">
        <f t="shared" si="8"/>
        <v>0.5616000000000001</v>
      </c>
    </row>
    <row r="66" spans="1:6" x14ac:dyDescent="0.4">
      <c r="A66" s="271">
        <f t="shared" si="7"/>
        <v>0.51136363636363646</v>
      </c>
      <c r="B66" s="264">
        <v>18</v>
      </c>
      <c r="C66" s="270">
        <f t="shared" si="6"/>
        <v>9.7200000000000006</v>
      </c>
      <c r="D66" s="270">
        <f t="shared" si="8"/>
        <v>3.8880000000000003</v>
      </c>
      <c r="E66" s="270">
        <f t="shared" si="8"/>
        <v>1.9440000000000002</v>
      </c>
      <c r="F66" s="270">
        <f t="shared" si="8"/>
        <v>0.64800000000000013</v>
      </c>
    </row>
    <row r="67" spans="1:6" x14ac:dyDescent="0.4">
      <c r="A67" s="271">
        <f t="shared" si="7"/>
        <v>0.56818181818181823</v>
      </c>
      <c r="B67" s="264">
        <v>20</v>
      </c>
      <c r="C67" s="270">
        <f t="shared" si="6"/>
        <v>10.125</v>
      </c>
      <c r="D67" s="270">
        <f t="shared" si="8"/>
        <v>4.0500000000000007</v>
      </c>
      <c r="E67" s="270">
        <f t="shared" si="8"/>
        <v>2.0250000000000004</v>
      </c>
      <c r="F67" s="270">
        <f t="shared" si="8"/>
        <v>0.67500000000000004</v>
      </c>
    </row>
    <row r="68" spans="1:6" x14ac:dyDescent="0.4">
      <c r="A68" s="271">
        <f t="shared" si="7"/>
        <v>0.68181818181818188</v>
      </c>
      <c r="B68" s="264">
        <v>24</v>
      </c>
      <c r="C68" s="270">
        <f t="shared" si="6"/>
        <v>10.8</v>
      </c>
      <c r="D68" s="270">
        <f t="shared" si="8"/>
        <v>4.32</v>
      </c>
      <c r="E68" s="270">
        <f t="shared" si="8"/>
        <v>2.16</v>
      </c>
      <c r="F68" s="270">
        <f t="shared" si="8"/>
        <v>0.72000000000000008</v>
      </c>
    </row>
    <row r="69" spans="1:6" x14ac:dyDescent="0.4">
      <c r="A69" s="271">
        <f t="shared" si="7"/>
        <v>0.8522727272727274</v>
      </c>
      <c r="B69" s="264">
        <v>30</v>
      </c>
      <c r="C69" s="270">
        <f t="shared" si="6"/>
        <v>11.571428571428571</v>
      </c>
      <c r="D69" s="270">
        <f t="shared" si="8"/>
        <v>4.628571428571429</v>
      </c>
      <c r="E69" s="270">
        <f t="shared" si="8"/>
        <v>2.3142857142857145</v>
      </c>
      <c r="F69" s="270">
        <f t="shared" si="8"/>
        <v>0.77142857142857146</v>
      </c>
    </row>
    <row r="70" spans="1:6" x14ac:dyDescent="0.4">
      <c r="A70" s="271">
        <f t="shared" si="7"/>
        <v>1.0227272727272729</v>
      </c>
      <c r="B70" s="264">
        <v>36</v>
      </c>
      <c r="C70" s="270">
        <f t="shared" si="6"/>
        <v>12.15</v>
      </c>
      <c r="D70" s="270">
        <f t="shared" si="8"/>
        <v>4.8600000000000003</v>
      </c>
      <c r="E70" s="270">
        <f t="shared" si="8"/>
        <v>2.4300000000000002</v>
      </c>
      <c r="F70" s="270">
        <f t="shared" si="8"/>
        <v>0.81</v>
      </c>
    </row>
    <row r="71" spans="1:6" x14ac:dyDescent="0.4">
      <c r="A71" s="271">
        <f t="shared" si="7"/>
        <v>1.1363636363636365</v>
      </c>
      <c r="B71" s="264">
        <v>40</v>
      </c>
      <c r="C71" s="270">
        <f t="shared" si="6"/>
        <v>12.461538461538462</v>
      </c>
      <c r="D71" s="270">
        <f t="shared" si="8"/>
        <v>4.9846153846153847</v>
      </c>
      <c r="E71" s="270">
        <f t="shared" si="8"/>
        <v>2.4923076923076923</v>
      </c>
      <c r="F71" s="270">
        <f t="shared" si="8"/>
        <v>0.83076923076923082</v>
      </c>
    </row>
    <row r="72" spans="1:6" x14ac:dyDescent="0.4">
      <c r="A72" s="271">
        <f t="shared" si="7"/>
        <v>1.1931818181818183</v>
      </c>
      <c r="B72" s="264">
        <v>42</v>
      </c>
      <c r="C72" s="270">
        <f t="shared" si="6"/>
        <v>12.600000000000001</v>
      </c>
      <c r="D72" s="270">
        <f t="shared" si="8"/>
        <v>5.0400000000000009</v>
      </c>
      <c r="E72" s="270">
        <f t="shared" si="8"/>
        <v>2.5200000000000005</v>
      </c>
      <c r="F72" s="270">
        <f t="shared" si="8"/>
        <v>0.84000000000000019</v>
      </c>
    </row>
    <row r="73" spans="1:6" x14ac:dyDescent="0.4">
      <c r="A73" s="271">
        <f t="shared" si="7"/>
        <v>1.3636363636363638</v>
      </c>
      <c r="B73" s="264">
        <v>48</v>
      </c>
      <c r="C73" s="270">
        <f t="shared" si="6"/>
        <v>12.96</v>
      </c>
      <c r="D73" s="270">
        <f t="shared" si="8"/>
        <v>5.1840000000000002</v>
      </c>
      <c r="E73" s="270">
        <f t="shared" si="8"/>
        <v>2.5920000000000001</v>
      </c>
      <c r="F73" s="270">
        <f t="shared" si="8"/>
        <v>0.8640000000000001</v>
      </c>
    </row>
    <row r="74" spans="1:6" x14ac:dyDescent="0.4">
      <c r="A74" s="271">
        <f t="shared" si="7"/>
        <v>1.5625000000000002</v>
      </c>
      <c r="B74" s="264">
        <v>55</v>
      </c>
      <c r="C74" s="270">
        <f t="shared" si="6"/>
        <v>13.298507462686567</v>
      </c>
      <c r="D74" s="270">
        <f t="shared" si="8"/>
        <v>5.3194029850746265</v>
      </c>
      <c r="E74" s="270">
        <f t="shared" si="8"/>
        <v>2.6597014925373132</v>
      </c>
      <c r="F74" s="270">
        <f t="shared" si="8"/>
        <v>0.88656716417910453</v>
      </c>
    </row>
    <row r="75" spans="1:6" x14ac:dyDescent="0.4">
      <c r="A75" s="271">
        <f t="shared" si="7"/>
        <v>1.7045454545454548</v>
      </c>
      <c r="B75" s="264">
        <v>60</v>
      </c>
      <c r="C75" s="270">
        <f t="shared" si="6"/>
        <v>13.5</v>
      </c>
      <c r="D75" s="270">
        <f t="shared" si="8"/>
        <v>5.4</v>
      </c>
      <c r="E75" s="270">
        <f t="shared" si="8"/>
        <v>2.7</v>
      </c>
      <c r="F75" s="270">
        <f t="shared" si="8"/>
        <v>0.90000000000000013</v>
      </c>
    </row>
    <row r="76" spans="1:6" x14ac:dyDescent="0.4">
      <c r="A76" s="271">
        <f t="shared" si="7"/>
        <v>1.8465909090909094</v>
      </c>
      <c r="B76" s="264">
        <v>65</v>
      </c>
      <c r="C76" s="270">
        <f t="shared" si="6"/>
        <v>13.675324675324676</v>
      </c>
      <c r="D76" s="270">
        <f t="shared" si="8"/>
        <v>5.4701298701298704</v>
      </c>
      <c r="E76" s="270">
        <f t="shared" si="8"/>
        <v>2.7350649350649352</v>
      </c>
      <c r="F76" s="270">
        <f t="shared" si="8"/>
        <v>0.91168831168831177</v>
      </c>
    </row>
    <row r="77" spans="1:6" x14ac:dyDescent="0.4">
      <c r="A77" s="271">
        <f t="shared" si="7"/>
        <v>1.988636363636364</v>
      </c>
      <c r="B77" s="264">
        <v>70</v>
      </c>
      <c r="C77" s="272"/>
      <c r="D77" s="270">
        <f t="shared" si="8"/>
        <v>5.5317073170731712</v>
      </c>
      <c r="E77" s="270">
        <f t="shared" si="8"/>
        <v>2.7658536585365856</v>
      </c>
      <c r="F77" s="270">
        <f t="shared" si="8"/>
        <v>0.92195121951219527</v>
      </c>
    </row>
    <row r="78" spans="1:6" x14ac:dyDescent="0.4">
      <c r="A78" s="271">
        <f t="shared" si="7"/>
        <v>2.1306818181818183</v>
      </c>
      <c r="B78" s="264">
        <v>75</v>
      </c>
      <c r="C78" s="272"/>
      <c r="D78" s="270">
        <f t="shared" si="8"/>
        <v>5.5862068965517242</v>
      </c>
      <c r="E78" s="270">
        <f t="shared" si="8"/>
        <v>2.7931034482758621</v>
      </c>
      <c r="F78" s="270">
        <f t="shared" si="8"/>
        <v>0.93103448275862077</v>
      </c>
    </row>
  </sheetData>
  <mergeCells count="3">
    <mergeCell ref="A6:G7"/>
    <mergeCell ref="A31:G32"/>
    <mergeCell ref="A56:G5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topLeftCell="A28" zoomScale="175" zoomScaleNormal="175" workbookViewId="0">
      <selection activeCell="B34" sqref="B34"/>
    </sheetView>
  </sheetViews>
  <sheetFormatPr defaultColWidth="9.15625" defaultRowHeight="14.4" x14ac:dyDescent="0.55000000000000004"/>
  <cols>
    <col min="1" max="1" width="34.578125" style="297" customWidth="1"/>
    <col min="2" max="2" width="12" style="297" bestFit="1" customWidth="1"/>
    <col min="3" max="3" width="3.83984375" style="297" bestFit="1" customWidth="1"/>
    <col min="4" max="4" width="13.578125" style="297" customWidth="1"/>
    <col min="5" max="5" width="12.68359375" style="297" customWidth="1"/>
    <col min="6" max="6" width="2.15625" style="297" bestFit="1" customWidth="1"/>
    <col min="7" max="7" width="9.15625" style="297"/>
    <col min="8" max="8" width="12" style="297" customWidth="1"/>
    <col min="9" max="9" width="8.41796875" style="297" bestFit="1" customWidth="1"/>
    <col min="10" max="10" width="12" style="297" bestFit="1" customWidth="1"/>
    <col min="11" max="11" width="15.68359375" style="297" customWidth="1"/>
    <col min="12" max="12" width="2.26171875" style="297" bestFit="1" customWidth="1"/>
    <col min="13" max="13" width="9.15625" style="297"/>
    <col min="14" max="14" width="12" style="297" bestFit="1" customWidth="1"/>
    <col min="15" max="17" width="9.15625" style="297"/>
    <col min="18" max="18" width="12" style="297" bestFit="1" customWidth="1"/>
    <col min="19" max="16384" width="9.15625" style="297"/>
  </cols>
  <sheetData>
    <row r="1" spans="1:12" s="459" customFormat="1" x14ac:dyDescent="0.55000000000000004">
      <c r="A1" s="458" t="s">
        <v>852</v>
      </c>
    </row>
    <row r="2" spans="1:12" s="461" customFormat="1" ht="14.7" thickBot="1" x14ac:dyDescent="0.6">
      <c r="A2" s="460"/>
    </row>
    <row r="3" spans="1:12" ht="15.75" thickBot="1" x14ac:dyDescent="0.3"/>
    <row r="4" spans="1:12" ht="27" thickBot="1" x14ac:dyDescent="0.45">
      <c r="A4" s="466" t="s">
        <v>851</v>
      </c>
      <c r="B4" s="467"/>
      <c r="C4" s="468"/>
    </row>
    <row r="5" spans="1:12" ht="19.5" thickBot="1" x14ac:dyDescent="0.35">
      <c r="A5" s="298" t="s">
        <v>0</v>
      </c>
      <c r="B5" s="285">
        <v>6</v>
      </c>
      <c r="C5" s="299" t="s">
        <v>5</v>
      </c>
      <c r="E5" s="462" t="s">
        <v>868</v>
      </c>
      <c r="F5" s="462"/>
      <c r="G5" s="462"/>
    </row>
    <row r="6" spans="1:12" ht="15.75" thickBot="1" x14ac:dyDescent="0.3">
      <c r="A6" s="300" t="s">
        <v>1</v>
      </c>
      <c r="B6" s="286">
        <v>24</v>
      </c>
      <c r="C6" s="299" t="s">
        <v>5</v>
      </c>
      <c r="E6" s="301"/>
      <c r="F6" s="297" t="s">
        <v>867</v>
      </c>
    </row>
    <row r="7" spans="1:12" ht="15.75" thickBot="1" x14ac:dyDescent="0.3">
      <c r="A7" s="300" t="s">
        <v>2</v>
      </c>
      <c r="B7" s="286">
        <v>60</v>
      </c>
      <c r="C7" s="299" t="s">
        <v>5</v>
      </c>
      <c r="E7" s="302"/>
      <c r="F7" s="297" t="s">
        <v>869</v>
      </c>
    </row>
    <row r="8" spans="1:12" ht="15.75" thickBot="1" x14ac:dyDescent="0.3">
      <c r="A8" s="300" t="s">
        <v>3</v>
      </c>
      <c r="B8" s="286">
        <v>300</v>
      </c>
      <c r="C8" s="299" t="s">
        <v>8</v>
      </c>
      <c r="E8" s="303"/>
      <c r="F8" s="297" t="s">
        <v>942</v>
      </c>
    </row>
    <row r="9" spans="1:12" ht="15" x14ac:dyDescent="0.25">
      <c r="A9" s="300" t="s">
        <v>9</v>
      </c>
      <c r="B9" s="287">
        <v>1</v>
      </c>
      <c r="C9" s="299"/>
    </row>
    <row r="10" spans="1:12" ht="15" x14ac:dyDescent="0.25">
      <c r="A10" s="300" t="s">
        <v>936</v>
      </c>
      <c r="B10" s="287">
        <v>0.5</v>
      </c>
      <c r="C10" s="299"/>
    </row>
    <row r="11" spans="1:12" ht="15.75" thickBot="1" x14ac:dyDescent="0.3">
      <c r="A11" s="304" t="s">
        <v>36</v>
      </c>
      <c r="B11" s="288">
        <v>0.4</v>
      </c>
      <c r="C11" s="305"/>
    </row>
    <row r="12" spans="1:12" ht="15.75" thickBot="1" x14ac:dyDescent="0.3"/>
    <row r="13" spans="1:12" ht="27" thickBot="1" x14ac:dyDescent="0.45">
      <c r="A13" s="466" t="s">
        <v>4</v>
      </c>
      <c r="B13" s="467"/>
      <c r="C13" s="468"/>
      <c r="D13" s="306"/>
      <c r="E13" s="306"/>
      <c r="F13" s="306"/>
      <c r="G13" s="306"/>
      <c r="H13" s="306"/>
      <c r="I13" s="306"/>
      <c r="J13" s="306"/>
      <c r="K13" s="306"/>
      <c r="L13" s="306"/>
    </row>
    <row r="14" spans="1:12" ht="16.5" thickBot="1" x14ac:dyDescent="0.3">
      <c r="A14" s="463" t="s">
        <v>873</v>
      </c>
      <c r="B14" s="464"/>
      <c r="C14" s="465"/>
      <c r="D14" s="307"/>
      <c r="E14" s="307"/>
      <c r="F14" s="307"/>
      <c r="G14" s="307"/>
      <c r="H14" s="307"/>
      <c r="I14" s="307"/>
      <c r="J14" s="307"/>
      <c r="K14" s="307"/>
      <c r="L14" s="307"/>
    </row>
    <row r="15" spans="1:12" ht="15.75" thickBot="1" x14ac:dyDescent="0.3">
      <c r="A15" s="308" t="s">
        <v>45</v>
      </c>
      <c r="B15" s="309"/>
      <c r="C15" s="310"/>
      <c r="D15" s="311"/>
      <c r="E15" s="311"/>
      <c r="F15" s="311"/>
      <c r="G15" s="311"/>
      <c r="H15" s="311"/>
      <c r="I15" s="311"/>
      <c r="J15" s="311"/>
      <c r="K15" s="311"/>
      <c r="L15" s="311"/>
    </row>
    <row r="16" spans="1:12" ht="15" x14ac:dyDescent="0.25">
      <c r="A16" s="312" t="s">
        <v>875</v>
      </c>
      <c r="B16" s="313">
        <f>D_spec*VinMin</f>
        <v>3</v>
      </c>
      <c r="C16" s="314" t="s">
        <v>5</v>
      </c>
      <c r="D16" s="315"/>
      <c r="E16" s="315"/>
      <c r="F16" s="315"/>
      <c r="G16" s="315"/>
      <c r="H16" s="315"/>
      <c r="I16" s="315"/>
      <c r="J16" s="315"/>
      <c r="K16" s="315"/>
      <c r="L16" s="315"/>
    </row>
    <row r="17" spans="1:25" ht="15" x14ac:dyDescent="0.25">
      <c r="A17" s="316" t="s">
        <v>876</v>
      </c>
      <c r="B17" s="286">
        <v>15</v>
      </c>
      <c r="C17" s="299" t="s">
        <v>5</v>
      </c>
      <c r="D17" s="315"/>
      <c r="E17" s="315"/>
      <c r="F17" s="315"/>
      <c r="G17" s="315"/>
      <c r="H17" s="315"/>
      <c r="I17" s="315"/>
      <c r="J17" s="315"/>
      <c r="K17" s="315"/>
      <c r="L17" s="315"/>
    </row>
    <row r="18" spans="1:25" ht="15" x14ac:dyDescent="0.25">
      <c r="A18" s="316" t="s">
        <v>877</v>
      </c>
      <c r="B18" s="286">
        <v>0</v>
      </c>
      <c r="C18" s="299" t="s">
        <v>6</v>
      </c>
      <c r="D18" s="315"/>
      <c r="E18" s="315"/>
      <c r="F18" s="315"/>
      <c r="G18" s="315"/>
      <c r="H18" s="315"/>
      <c r="I18" s="315"/>
      <c r="J18" s="315"/>
      <c r="K18" s="315"/>
      <c r="L18" s="315"/>
    </row>
    <row r="19" spans="1:25" ht="15.75" thickBot="1" x14ac:dyDescent="0.3">
      <c r="A19" s="317" t="s">
        <v>878</v>
      </c>
      <c r="B19" s="290">
        <v>50</v>
      </c>
      <c r="C19" s="305" t="s">
        <v>280</v>
      </c>
      <c r="D19" s="315"/>
      <c r="E19" s="315"/>
      <c r="F19" s="315"/>
      <c r="G19" s="315"/>
      <c r="H19" s="315"/>
      <c r="I19" s="315"/>
      <c r="J19" s="315"/>
      <c r="K19" s="315"/>
      <c r="L19" s="315"/>
    </row>
    <row r="20" spans="1:25" ht="15.75" thickBot="1" x14ac:dyDescent="0.3">
      <c r="A20" s="308" t="s">
        <v>46</v>
      </c>
      <c r="B20" s="318"/>
      <c r="C20" s="319"/>
      <c r="D20" s="315"/>
      <c r="E20" s="315"/>
      <c r="F20" s="315"/>
      <c r="G20" s="315"/>
      <c r="H20" s="315"/>
      <c r="I20" s="315"/>
      <c r="J20" s="315"/>
      <c r="K20" s="315"/>
      <c r="L20" s="315"/>
    </row>
    <row r="21" spans="1:25" ht="15" x14ac:dyDescent="0.25">
      <c r="A21" s="312" t="s">
        <v>875</v>
      </c>
      <c r="B21" s="313">
        <f>(D_spec*VinMin)/(D_spec-1)</f>
        <v>-6</v>
      </c>
      <c r="C21" s="314" t="s">
        <v>5</v>
      </c>
      <c r="D21" s="315"/>
      <c r="E21" s="315"/>
      <c r="F21" s="315"/>
      <c r="G21" s="315"/>
      <c r="H21" s="315"/>
      <c r="I21" s="315"/>
      <c r="J21" s="315"/>
      <c r="K21" s="315"/>
      <c r="L21" s="315"/>
    </row>
    <row r="22" spans="1:25" ht="15" x14ac:dyDescent="0.25">
      <c r="A22" s="316" t="s">
        <v>876</v>
      </c>
      <c r="B22" s="286">
        <v>-15</v>
      </c>
      <c r="C22" s="299" t="s">
        <v>5</v>
      </c>
      <c r="D22" s="315"/>
      <c r="E22" s="315"/>
      <c r="F22" s="315"/>
      <c r="G22" s="315"/>
      <c r="H22" s="315"/>
      <c r="I22" s="315"/>
      <c r="J22" s="315"/>
      <c r="K22" s="315"/>
      <c r="L22" s="315"/>
    </row>
    <row r="23" spans="1:25" ht="15" x14ac:dyDescent="0.25">
      <c r="A23" s="316" t="s">
        <v>877</v>
      </c>
      <c r="B23" s="286">
        <v>0</v>
      </c>
      <c r="C23" s="299" t="s">
        <v>6</v>
      </c>
      <c r="D23" s="315"/>
      <c r="E23" s="315"/>
      <c r="F23" s="315"/>
      <c r="G23" s="315"/>
      <c r="H23" s="315"/>
      <c r="I23" s="315"/>
      <c r="J23" s="315"/>
      <c r="K23" s="315"/>
      <c r="L23" s="315"/>
    </row>
    <row r="24" spans="1:25" ht="15.75" thickBot="1" x14ac:dyDescent="0.3">
      <c r="A24" s="317" t="s">
        <v>878</v>
      </c>
      <c r="B24" s="290">
        <v>50</v>
      </c>
      <c r="C24" s="305" t="s">
        <v>280</v>
      </c>
      <c r="D24" s="315"/>
      <c r="E24" s="315"/>
      <c r="F24" s="315"/>
      <c r="G24" s="315"/>
      <c r="H24" s="315"/>
      <c r="I24" s="315"/>
      <c r="J24" s="315"/>
      <c r="K24" s="315"/>
      <c r="L24" s="315"/>
      <c r="M24" s="315"/>
    </row>
    <row r="25" spans="1:25" ht="15.75" thickBot="1" x14ac:dyDescent="0.3">
      <c r="A25" s="308" t="s">
        <v>11</v>
      </c>
      <c r="B25" s="318"/>
      <c r="C25" s="319"/>
      <c r="D25" s="315"/>
      <c r="E25" s="315"/>
      <c r="F25" s="315"/>
      <c r="G25" s="315"/>
      <c r="H25" s="315"/>
      <c r="I25" s="315"/>
      <c r="J25" s="315"/>
      <c r="K25" s="315"/>
      <c r="L25" s="315"/>
      <c r="M25" s="315"/>
    </row>
    <row r="26" spans="1:25" ht="15" x14ac:dyDescent="0.25">
      <c r="A26" s="312" t="s">
        <v>880</v>
      </c>
      <c r="B26" s="291">
        <v>0</v>
      </c>
      <c r="C26" s="314" t="s">
        <v>5</v>
      </c>
      <c r="D26" s="315"/>
      <c r="E26" s="315"/>
      <c r="F26" s="315"/>
      <c r="G26" s="315"/>
      <c r="H26" s="315"/>
      <c r="I26" s="315"/>
      <c r="J26" s="315"/>
      <c r="K26" s="315"/>
      <c r="L26" s="315"/>
      <c r="M26" s="315"/>
    </row>
    <row r="27" spans="1:25" ht="15" x14ac:dyDescent="0.25">
      <c r="A27" s="316" t="s">
        <v>877</v>
      </c>
      <c r="B27" s="286">
        <v>0</v>
      </c>
      <c r="C27" s="299" t="s">
        <v>6</v>
      </c>
      <c r="D27" s="315"/>
      <c r="E27" s="315"/>
      <c r="F27" s="315"/>
      <c r="G27" s="315"/>
      <c r="H27" s="315"/>
      <c r="I27" s="315"/>
      <c r="J27" s="315"/>
      <c r="K27" s="315"/>
      <c r="L27" s="315"/>
      <c r="M27" s="315"/>
    </row>
    <row r="28" spans="1:25" ht="15" x14ac:dyDescent="0.25">
      <c r="A28" s="320" t="s">
        <v>878</v>
      </c>
      <c r="B28" s="286">
        <v>50</v>
      </c>
      <c r="C28" s="299" t="s">
        <v>280</v>
      </c>
      <c r="D28" s="315"/>
      <c r="E28" s="315"/>
      <c r="F28" s="315"/>
      <c r="G28" s="315"/>
      <c r="H28" s="315"/>
      <c r="I28" s="315"/>
      <c r="J28" s="315"/>
      <c r="K28" s="315"/>
      <c r="L28" s="315"/>
      <c r="M28" s="315"/>
    </row>
    <row r="29" spans="1:25" ht="15.75" thickBot="1" x14ac:dyDescent="0.3">
      <c r="A29" s="317" t="s">
        <v>634</v>
      </c>
      <c r="B29" s="290">
        <v>0.3</v>
      </c>
      <c r="C29" s="305" t="s">
        <v>5</v>
      </c>
      <c r="D29" s="315"/>
      <c r="E29" s="315"/>
      <c r="F29" s="315"/>
      <c r="G29" s="315"/>
      <c r="H29" s="315"/>
      <c r="I29" s="315"/>
      <c r="J29" s="315"/>
      <c r="K29" s="315"/>
      <c r="L29" s="315"/>
    </row>
    <row r="30" spans="1:25" ht="16.5" thickBot="1" x14ac:dyDescent="0.3">
      <c r="A30" s="463" t="s">
        <v>874</v>
      </c>
      <c r="B30" s="464"/>
      <c r="C30" s="465"/>
      <c r="D30" s="307"/>
      <c r="E30" s="307"/>
      <c r="F30" s="307"/>
      <c r="G30" s="307"/>
      <c r="H30" s="307"/>
      <c r="I30" s="307"/>
      <c r="J30" s="307"/>
      <c r="K30" s="307"/>
      <c r="L30" s="307"/>
      <c r="M30" s="429"/>
      <c r="N30" s="430"/>
      <c r="O30" s="430"/>
      <c r="P30" s="430"/>
      <c r="Q30" s="430"/>
      <c r="R30" s="430"/>
      <c r="S30" s="430"/>
      <c r="T30" s="430"/>
      <c r="U30" s="430"/>
      <c r="V30" s="430"/>
      <c r="W30" s="430"/>
      <c r="X30" s="430"/>
      <c r="Y30" s="430"/>
    </row>
    <row r="31" spans="1:25" ht="15.75" thickBot="1" x14ac:dyDescent="0.3">
      <c r="A31" s="411" t="s">
        <v>777</v>
      </c>
      <c r="B31" s="309"/>
      <c r="C31" s="310"/>
      <c r="D31" s="307"/>
      <c r="E31" s="307"/>
      <c r="F31" s="307"/>
      <c r="G31" s="307"/>
      <c r="H31" s="307"/>
      <c r="I31" s="307"/>
      <c r="J31" s="307"/>
      <c r="K31" s="307"/>
      <c r="L31" s="307"/>
      <c r="M31" s="429"/>
      <c r="N31" s="430"/>
      <c r="O31" s="430"/>
      <c r="P31" s="430"/>
      <c r="Q31" s="430"/>
      <c r="R31" s="430"/>
      <c r="S31" s="430"/>
      <c r="T31" s="430"/>
      <c r="U31" s="430"/>
      <c r="V31" s="430"/>
      <c r="W31" s="430"/>
      <c r="X31" s="430"/>
      <c r="Y31" s="430"/>
    </row>
    <row r="32" spans="1:25" ht="15" x14ac:dyDescent="0.25">
      <c r="A32" s="312" t="s">
        <v>871</v>
      </c>
      <c r="B32" s="291">
        <v>15</v>
      </c>
      <c r="C32" s="314" t="s">
        <v>5</v>
      </c>
      <c r="D32" s="315"/>
      <c r="E32" s="315"/>
      <c r="F32" s="315"/>
      <c r="G32" s="315"/>
      <c r="H32" s="315"/>
      <c r="I32" s="429"/>
      <c r="J32" s="429"/>
      <c r="K32" s="429"/>
      <c r="L32" s="429"/>
      <c r="M32" s="429"/>
      <c r="N32" s="430"/>
      <c r="O32" s="430"/>
      <c r="P32" s="430"/>
      <c r="Q32" s="430"/>
      <c r="R32" s="430"/>
      <c r="S32" s="430"/>
      <c r="T32" s="430"/>
      <c r="U32" s="430"/>
      <c r="V32" s="430"/>
      <c r="W32" s="430"/>
      <c r="X32" s="430"/>
      <c r="Y32" s="430"/>
    </row>
    <row r="33" spans="1:25" ht="15" x14ac:dyDescent="0.25">
      <c r="A33" s="316" t="s">
        <v>872</v>
      </c>
      <c r="B33" s="286">
        <v>0.5</v>
      </c>
      <c r="C33" s="299" t="s">
        <v>6</v>
      </c>
      <c r="D33" s="315"/>
      <c r="E33" s="315"/>
      <c r="F33" s="315"/>
      <c r="G33" s="315"/>
      <c r="H33" s="315"/>
      <c r="I33" s="429"/>
      <c r="J33" s="429"/>
      <c r="K33" s="429"/>
      <c r="L33" s="429"/>
      <c r="M33" s="429"/>
      <c r="N33" s="430"/>
      <c r="O33" s="430"/>
      <c r="P33" s="430"/>
      <c r="Q33" s="430"/>
      <c r="R33" s="430"/>
      <c r="S33" s="430"/>
      <c r="T33" s="430"/>
      <c r="U33" s="430"/>
      <c r="V33" s="430"/>
      <c r="W33" s="430"/>
      <c r="X33" s="430"/>
      <c r="Y33" s="430"/>
    </row>
    <row r="34" spans="1:25" ht="15" x14ac:dyDescent="0.25">
      <c r="A34" s="316" t="s">
        <v>712</v>
      </c>
      <c r="B34" s="286">
        <v>50</v>
      </c>
      <c r="C34" s="299" t="s">
        <v>280</v>
      </c>
      <c r="D34" s="315"/>
      <c r="E34" s="315"/>
      <c r="F34" s="315"/>
      <c r="G34" s="315"/>
      <c r="H34" s="315"/>
      <c r="I34" s="429"/>
      <c r="J34" s="429"/>
      <c r="K34" s="429"/>
      <c r="L34" s="429"/>
      <c r="M34" s="429"/>
      <c r="N34" s="430"/>
      <c r="O34" s="430"/>
      <c r="P34" s="430"/>
      <c r="Q34" s="430"/>
      <c r="R34" s="430"/>
      <c r="S34" s="430"/>
      <c r="T34" s="430"/>
      <c r="U34" s="430"/>
      <c r="V34" s="430"/>
      <c r="W34" s="430"/>
      <c r="X34" s="430"/>
      <c r="Y34" s="430"/>
    </row>
    <row r="35" spans="1:25" ht="14.7" thickBot="1" x14ac:dyDescent="0.6">
      <c r="A35" s="317" t="s">
        <v>634</v>
      </c>
      <c r="B35" s="290">
        <v>0.3</v>
      </c>
      <c r="C35" s="305" t="s">
        <v>5</v>
      </c>
      <c r="D35" s="315"/>
      <c r="E35" s="315"/>
      <c r="F35" s="315"/>
      <c r="G35" s="315"/>
      <c r="H35" s="315"/>
      <c r="I35" s="429"/>
      <c r="J35" s="430"/>
      <c r="K35" s="429"/>
      <c r="L35" s="429"/>
      <c r="M35" s="429"/>
      <c r="N35" s="430"/>
      <c r="O35" s="430"/>
      <c r="P35" s="430"/>
      <c r="Q35" s="430"/>
      <c r="R35" s="430"/>
      <c r="S35" s="430"/>
      <c r="T35" s="430"/>
      <c r="U35" s="430"/>
      <c r="V35" s="430"/>
      <c r="W35" s="430"/>
      <c r="X35" s="430"/>
      <c r="Y35" s="430"/>
    </row>
    <row r="36" spans="1:25" ht="14.7" thickBot="1" x14ac:dyDescent="0.6">
      <c r="A36" s="321" t="s">
        <v>778</v>
      </c>
      <c r="B36" s="318"/>
      <c r="C36" s="319"/>
      <c r="D36" s="315"/>
      <c r="E36" s="315"/>
      <c r="F36" s="315"/>
      <c r="G36" s="315"/>
      <c r="H36" s="315"/>
      <c r="I36" s="429"/>
      <c r="J36" s="429"/>
      <c r="K36" s="429"/>
      <c r="L36" s="429"/>
      <c r="M36" s="429"/>
      <c r="N36" s="430"/>
      <c r="O36" s="430"/>
      <c r="P36" s="430"/>
      <c r="Q36" s="430"/>
      <c r="R36" s="430"/>
      <c r="S36" s="430"/>
      <c r="T36" s="430"/>
      <c r="U36" s="430"/>
      <c r="V36" s="430"/>
      <c r="W36" s="430"/>
      <c r="X36" s="430"/>
      <c r="Y36" s="430"/>
    </row>
    <row r="37" spans="1:25" x14ac:dyDescent="0.55000000000000004">
      <c r="A37" s="312" t="s">
        <v>871</v>
      </c>
      <c r="B37" s="291">
        <v>0</v>
      </c>
      <c r="C37" s="314" t="s">
        <v>5</v>
      </c>
      <c r="D37" s="315"/>
      <c r="E37" s="315"/>
      <c r="F37" s="315"/>
      <c r="G37" s="315"/>
      <c r="H37" s="315"/>
      <c r="I37" s="429"/>
      <c r="J37" s="429"/>
      <c r="K37" s="429"/>
      <c r="L37" s="429"/>
      <c r="M37" s="429"/>
      <c r="N37" s="430"/>
      <c r="O37" s="430"/>
      <c r="P37" s="430"/>
      <c r="Q37" s="430"/>
      <c r="R37" s="430"/>
      <c r="S37" s="430"/>
      <c r="T37" s="430"/>
      <c r="U37" s="430"/>
      <c r="V37" s="430"/>
      <c r="W37" s="430"/>
      <c r="X37" s="430"/>
      <c r="Y37" s="430"/>
    </row>
    <row r="38" spans="1:25" x14ac:dyDescent="0.55000000000000004">
      <c r="A38" s="316" t="s">
        <v>872</v>
      </c>
      <c r="B38" s="286">
        <v>0</v>
      </c>
      <c r="C38" s="299" t="s">
        <v>6</v>
      </c>
      <c r="D38" s="315"/>
      <c r="E38" s="315"/>
      <c r="F38" s="315"/>
      <c r="G38" s="315"/>
      <c r="H38" s="315"/>
      <c r="I38" s="429"/>
      <c r="J38" s="429"/>
      <c r="K38" s="429"/>
      <c r="L38" s="429"/>
      <c r="M38" s="429"/>
      <c r="N38" s="430"/>
      <c r="O38" s="430"/>
      <c r="P38" s="430"/>
      <c r="Q38" s="430"/>
      <c r="R38" s="430"/>
      <c r="S38" s="430"/>
      <c r="T38" s="430"/>
      <c r="U38" s="430"/>
      <c r="V38" s="430"/>
      <c r="W38" s="430"/>
      <c r="X38" s="430"/>
      <c r="Y38" s="430"/>
    </row>
    <row r="39" spans="1:25" x14ac:dyDescent="0.55000000000000004">
      <c r="A39" s="316" t="s">
        <v>712</v>
      </c>
      <c r="B39" s="286">
        <v>50</v>
      </c>
      <c r="C39" s="299" t="s">
        <v>280</v>
      </c>
      <c r="D39" s="315"/>
      <c r="E39" s="315"/>
      <c r="F39" s="315"/>
      <c r="G39" s="315"/>
      <c r="H39" s="315"/>
      <c r="I39" s="429"/>
      <c r="J39" s="429"/>
      <c r="K39" s="429"/>
      <c r="L39" s="429"/>
      <c r="M39" s="429"/>
      <c r="N39" s="430"/>
      <c r="O39" s="430"/>
      <c r="P39" s="430"/>
      <c r="Q39" s="430"/>
      <c r="R39" s="430"/>
      <c r="S39" s="430"/>
      <c r="T39" s="430"/>
      <c r="U39" s="430"/>
      <c r="V39" s="430"/>
      <c r="W39" s="430"/>
      <c r="X39" s="430"/>
      <c r="Y39" s="430"/>
    </row>
    <row r="40" spans="1:25" ht="14.7" thickBot="1" x14ac:dyDescent="0.6">
      <c r="A40" s="317" t="s">
        <v>634</v>
      </c>
      <c r="B40" s="290">
        <v>0.3</v>
      </c>
      <c r="C40" s="305" t="s">
        <v>5</v>
      </c>
      <c r="D40" s="315"/>
      <c r="E40" s="315"/>
      <c r="F40" s="315"/>
      <c r="G40" s="315"/>
      <c r="H40" s="315"/>
      <c r="I40" s="429"/>
      <c r="J40" s="429"/>
      <c r="K40" s="429"/>
      <c r="L40" s="429"/>
      <c r="M40" s="429"/>
      <c r="N40" s="430"/>
      <c r="O40" s="430"/>
      <c r="P40" s="430"/>
      <c r="Q40" s="430"/>
      <c r="R40" s="430"/>
      <c r="S40" s="430"/>
      <c r="T40" s="430"/>
      <c r="U40" s="430"/>
      <c r="V40" s="430"/>
      <c r="W40" s="430"/>
      <c r="X40" s="430"/>
      <c r="Y40" s="430"/>
    </row>
    <row r="41" spans="1:25" ht="14.7" thickBot="1" x14ac:dyDescent="0.6">
      <c r="A41" s="321" t="s">
        <v>779</v>
      </c>
      <c r="B41" s="318"/>
      <c r="C41" s="319"/>
      <c r="D41" s="315"/>
      <c r="E41" s="315"/>
      <c r="F41" s="315"/>
      <c r="G41" s="315"/>
      <c r="H41" s="315"/>
      <c r="I41" s="429"/>
      <c r="J41" s="429"/>
      <c r="K41" s="429"/>
      <c r="L41" s="429"/>
      <c r="M41" s="429"/>
      <c r="N41" s="430"/>
      <c r="O41" s="430"/>
      <c r="P41" s="430"/>
      <c r="Q41" s="430"/>
      <c r="R41" s="430"/>
      <c r="S41" s="430"/>
      <c r="T41" s="430"/>
      <c r="U41" s="430"/>
      <c r="V41" s="430"/>
      <c r="W41" s="430"/>
      <c r="X41" s="430"/>
      <c r="Y41" s="430"/>
    </row>
    <row r="42" spans="1:25" x14ac:dyDescent="0.55000000000000004">
      <c r="A42" s="312" t="s">
        <v>871</v>
      </c>
      <c r="B42" s="291">
        <v>0</v>
      </c>
      <c r="C42" s="314" t="s">
        <v>5</v>
      </c>
      <c r="D42" s="315"/>
      <c r="E42" s="315"/>
      <c r="F42" s="315"/>
      <c r="G42" s="315"/>
      <c r="H42" s="315"/>
      <c r="I42" s="429"/>
      <c r="J42" s="429"/>
      <c r="K42" s="429"/>
      <c r="L42" s="429"/>
      <c r="M42" s="429"/>
      <c r="N42" s="430"/>
      <c r="O42" s="430"/>
      <c r="P42" s="430"/>
      <c r="Q42" s="430"/>
      <c r="R42" s="430"/>
      <c r="S42" s="430"/>
      <c r="T42" s="430"/>
      <c r="U42" s="430"/>
      <c r="V42" s="430"/>
      <c r="W42" s="430"/>
      <c r="X42" s="430"/>
      <c r="Y42" s="430"/>
    </row>
    <row r="43" spans="1:25" x14ac:dyDescent="0.55000000000000004">
      <c r="A43" s="316" t="s">
        <v>872</v>
      </c>
      <c r="B43" s="286">
        <v>0</v>
      </c>
      <c r="C43" s="299" t="s">
        <v>6</v>
      </c>
      <c r="D43" s="315"/>
      <c r="E43" s="315"/>
      <c r="F43" s="315"/>
      <c r="G43" s="315"/>
      <c r="H43" s="315"/>
      <c r="I43" s="429"/>
      <c r="J43" s="429"/>
      <c r="K43" s="429"/>
      <c r="L43" s="429"/>
      <c r="M43" s="429"/>
      <c r="N43" s="430"/>
      <c r="O43" s="430"/>
      <c r="P43" s="430"/>
      <c r="Q43" s="430"/>
      <c r="R43" s="430"/>
      <c r="S43" s="430"/>
      <c r="T43" s="430"/>
      <c r="U43" s="430"/>
      <c r="V43" s="430"/>
      <c r="W43" s="430"/>
      <c r="X43" s="430"/>
      <c r="Y43" s="430"/>
    </row>
    <row r="44" spans="1:25" x14ac:dyDescent="0.55000000000000004">
      <c r="A44" s="316" t="s">
        <v>712</v>
      </c>
      <c r="B44" s="286">
        <v>50</v>
      </c>
      <c r="C44" s="299" t="s">
        <v>280</v>
      </c>
      <c r="D44" s="315"/>
      <c r="E44" s="315"/>
      <c r="F44" s="315"/>
      <c r="G44" s="315"/>
      <c r="H44" s="315"/>
      <c r="I44" s="429"/>
      <c r="J44" s="429"/>
      <c r="K44" s="429"/>
      <c r="L44" s="429"/>
      <c r="M44" s="429"/>
      <c r="N44" s="430"/>
      <c r="O44" s="430"/>
      <c r="P44" s="430"/>
      <c r="Q44" s="430"/>
      <c r="R44" s="430"/>
      <c r="S44" s="430"/>
      <c r="T44" s="430"/>
      <c r="U44" s="430"/>
      <c r="V44" s="430"/>
      <c r="W44" s="430"/>
      <c r="X44" s="430"/>
      <c r="Y44" s="430"/>
    </row>
    <row r="45" spans="1:25" ht="14.7" thickBot="1" x14ac:dyDescent="0.6">
      <c r="A45" s="317" t="s">
        <v>634</v>
      </c>
      <c r="B45" s="290">
        <v>0.3</v>
      </c>
      <c r="C45" s="305" t="s">
        <v>5</v>
      </c>
      <c r="D45" s="315"/>
      <c r="E45" s="315"/>
      <c r="F45" s="315"/>
      <c r="G45" s="315"/>
      <c r="H45" s="315"/>
      <c r="I45" s="429"/>
      <c r="J45" s="429"/>
      <c r="K45" s="429"/>
      <c r="L45" s="429"/>
      <c r="M45" s="429"/>
      <c r="N45" s="430"/>
      <c r="O45" s="430"/>
      <c r="P45" s="430"/>
      <c r="Q45" s="430"/>
      <c r="R45" s="430"/>
      <c r="S45" s="430"/>
      <c r="T45" s="430"/>
      <c r="U45" s="430"/>
      <c r="V45" s="430"/>
      <c r="W45" s="430"/>
      <c r="X45" s="430"/>
      <c r="Y45" s="430"/>
    </row>
    <row r="46" spans="1:25" ht="14.7" thickBot="1" x14ac:dyDescent="0.6">
      <c r="A46" s="321" t="s">
        <v>780</v>
      </c>
      <c r="B46" s="318"/>
      <c r="C46" s="319"/>
      <c r="D46" s="315"/>
      <c r="E46" s="315"/>
      <c r="F46" s="315"/>
      <c r="G46" s="315"/>
      <c r="H46" s="315"/>
      <c r="I46" s="429"/>
      <c r="J46" s="429"/>
      <c r="K46" s="429"/>
      <c r="L46" s="429"/>
      <c r="M46" s="429"/>
      <c r="N46" s="430"/>
      <c r="O46" s="430"/>
      <c r="P46" s="430"/>
      <c r="Q46" s="430"/>
      <c r="R46" s="430"/>
      <c r="S46" s="430"/>
      <c r="T46" s="430"/>
      <c r="U46" s="430"/>
      <c r="V46" s="430"/>
      <c r="W46" s="430"/>
      <c r="X46" s="430"/>
      <c r="Y46" s="430"/>
    </row>
    <row r="47" spans="1:25" x14ac:dyDescent="0.55000000000000004">
      <c r="A47" s="312" t="s">
        <v>871</v>
      </c>
      <c r="B47" s="291">
        <v>0</v>
      </c>
      <c r="C47" s="314" t="s">
        <v>5</v>
      </c>
      <c r="D47" s="315"/>
      <c r="E47" s="315"/>
      <c r="F47" s="315"/>
      <c r="G47" s="315"/>
      <c r="H47" s="315"/>
      <c r="I47" s="429"/>
      <c r="J47" s="429"/>
      <c r="K47" s="429"/>
      <c r="L47" s="429"/>
      <c r="M47" s="429"/>
      <c r="N47" s="430"/>
      <c r="O47" s="430"/>
      <c r="P47" s="430"/>
      <c r="Q47" s="430"/>
      <c r="R47" s="430"/>
      <c r="S47" s="430"/>
      <c r="T47" s="430"/>
      <c r="U47" s="430"/>
      <c r="V47" s="430"/>
      <c r="W47" s="430"/>
      <c r="X47" s="430"/>
      <c r="Y47" s="430"/>
    </row>
    <row r="48" spans="1:25" x14ac:dyDescent="0.55000000000000004">
      <c r="A48" s="316" t="s">
        <v>872</v>
      </c>
      <c r="B48" s="286">
        <v>0</v>
      </c>
      <c r="C48" s="299" t="s">
        <v>6</v>
      </c>
      <c r="D48" s="315"/>
      <c r="E48" s="315"/>
      <c r="F48" s="315"/>
      <c r="G48" s="315"/>
      <c r="H48" s="315"/>
      <c r="I48" s="429"/>
      <c r="J48" s="429"/>
      <c r="K48" s="429"/>
      <c r="L48" s="429"/>
      <c r="M48" s="429"/>
      <c r="N48" s="430"/>
      <c r="O48" s="430"/>
      <c r="P48" s="430"/>
      <c r="Q48" s="430"/>
      <c r="R48" s="430"/>
      <c r="S48" s="430"/>
      <c r="T48" s="430"/>
      <c r="U48" s="430"/>
      <c r="V48" s="430"/>
      <c r="W48" s="430"/>
      <c r="X48" s="430"/>
      <c r="Y48" s="430"/>
    </row>
    <row r="49" spans="1:25" x14ac:dyDescent="0.55000000000000004">
      <c r="A49" s="316" t="s">
        <v>712</v>
      </c>
      <c r="B49" s="286">
        <v>50</v>
      </c>
      <c r="C49" s="299" t="s">
        <v>280</v>
      </c>
      <c r="D49" s="315"/>
      <c r="E49" s="315"/>
      <c r="F49" s="315"/>
      <c r="G49" s="315"/>
      <c r="H49" s="315"/>
      <c r="I49" s="429"/>
      <c r="J49" s="429"/>
      <c r="K49" s="429"/>
      <c r="L49" s="429"/>
      <c r="M49" s="429"/>
      <c r="N49" s="430"/>
      <c r="O49" s="430"/>
      <c r="P49" s="430"/>
      <c r="Q49" s="430"/>
      <c r="R49" s="430"/>
      <c r="S49" s="430"/>
      <c r="T49" s="430"/>
      <c r="U49" s="430"/>
      <c r="V49" s="430"/>
      <c r="W49" s="430"/>
      <c r="X49" s="430"/>
      <c r="Y49" s="430"/>
    </row>
    <row r="50" spans="1:25" ht="14.7" thickBot="1" x14ac:dyDescent="0.6">
      <c r="A50" s="317" t="s">
        <v>634</v>
      </c>
      <c r="B50" s="290">
        <v>0.3</v>
      </c>
      <c r="C50" s="305" t="s">
        <v>5</v>
      </c>
      <c r="D50" s="315"/>
      <c r="E50" s="315"/>
      <c r="F50" s="315"/>
      <c r="G50" s="315"/>
      <c r="H50" s="315"/>
      <c r="I50" s="429"/>
      <c r="J50" s="429"/>
      <c r="K50" s="429"/>
      <c r="L50" s="429"/>
      <c r="M50" s="429"/>
      <c r="N50" s="430"/>
      <c r="O50" s="430"/>
      <c r="P50" s="430"/>
      <c r="Q50" s="430"/>
      <c r="R50" s="430"/>
      <c r="S50" s="430"/>
      <c r="T50" s="430"/>
      <c r="U50" s="430"/>
      <c r="V50" s="430"/>
      <c r="W50" s="430"/>
      <c r="X50" s="430"/>
      <c r="Y50" s="430"/>
    </row>
    <row r="51" spans="1:25" ht="14.7" thickBot="1" x14ac:dyDescent="0.6">
      <c r="A51" s="321" t="s">
        <v>781</v>
      </c>
      <c r="B51" s="318"/>
      <c r="C51" s="319"/>
      <c r="D51" s="315"/>
      <c r="E51" s="315"/>
      <c r="F51" s="315"/>
      <c r="G51" s="315"/>
      <c r="H51" s="315"/>
      <c r="I51" s="429"/>
      <c r="J51" s="429"/>
      <c r="K51" s="429"/>
      <c r="L51" s="429"/>
      <c r="M51" s="429"/>
      <c r="N51" s="430"/>
      <c r="O51" s="430"/>
      <c r="P51" s="430"/>
      <c r="Q51" s="430"/>
      <c r="R51" s="430"/>
      <c r="S51" s="430"/>
      <c r="T51" s="430"/>
      <c r="U51" s="430"/>
      <c r="V51" s="430"/>
      <c r="W51" s="430"/>
      <c r="X51" s="430"/>
      <c r="Y51" s="430"/>
    </row>
    <row r="52" spans="1:25" x14ac:dyDescent="0.55000000000000004">
      <c r="A52" s="312" t="s">
        <v>871</v>
      </c>
      <c r="B52" s="291">
        <v>0</v>
      </c>
      <c r="C52" s="314" t="s">
        <v>5</v>
      </c>
      <c r="D52" s="315"/>
      <c r="E52" s="315"/>
      <c r="F52" s="315"/>
      <c r="G52" s="315"/>
      <c r="H52" s="315"/>
      <c r="I52" s="429"/>
      <c r="J52" s="429"/>
      <c r="K52" s="429"/>
      <c r="L52" s="429"/>
      <c r="M52" s="429"/>
      <c r="N52" s="430"/>
      <c r="O52" s="430"/>
      <c r="P52" s="430"/>
      <c r="Q52" s="430"/>
      <c r="R52" s="430"/>
      <c r="S52" s="430"/>
      <c r="T52" s="430"/>
      <c r="U52" s="430"/>
      <c r="V52" s="430"/>
      <c r="W52" s="430"/>
      <c r="X52" s="430"/>
      <c r="Y52" s="430"/>
    </row>
    <row r="53" spans="1:25" x14ac:dyDescent="0.55000000000000004">
      <c r="A53" s="316" t="s">
        <v>872</v>
      </c>
      <c r="B53" s="286">
        <v>0</v>
      </c>
      <c r="C53" s="299" t="s">
        <v>6</v>
      </c>
      <c r="D53" s="315"/>
      <c r="E53" s="315"/>
      <c r="F53" s="315"/>
      <c r="G53" s="315"/>
      <c r="H53" s="315"/>
      <c r="I53" s="429"/>
      <c r="J53" s="429"/>
      <c r="K53" s="429"/>
      <c r="L53" s="429"/>
      <c r="M53" s="429"/>
      <c r="N53" s="430"/>
      <c r="O53" s="430"/>
      <c r="P53" s="430"/>
      <c r="Q53" s="430"/>
      <c r="R53" s="430"/>
      <c r="S53" s="430"/>
      <c r="T53" s="430"/>
      <c r="U53" s="430"/>
      <c r="V53" s="430"/>
      <c r="W53" s="430"/>
      <c r="X53" s="430"/>
      <c r="Y53" s="430"/>
    </row>
    <row r="54" spans="1:25" x14ac:dyDescent="0.55000000000000004">
      <c r="A54" s="316" t="s">
        <v>712</v>
      </c>
      <c r="B54" s="286">
        <v>50</v>
      </c>
      <c r="C54" s="299" t="s">
        <v>280</v>
      </c>
      <c r="D54" s="315"/>
      <c r="E54" s="315"/>
      <c r="F54" s="315"/>
      <c r="G54" s="315"/>
      <c r="H54" s="315"/>
      <c r="I54" s="429"/>
      <c r="J54" s="429"/>
      <c r="K54" s="429"/>
      <c r="L54" s="429"/>
      <c r="M54" s="429"/>
      <c r="N54" s="430"/>
      <c r="O54" s="430"/>
      <c r="P54" s="430"/>
      <c r="Q54" s="430"/>
      <c r="R54" s="430"/>
      <c r="S54" s="430"/>
      <c r="T54" s="430"/>
      <c r="U54" s="430"/>
      <c r="V54" s="430"/>
      <c r="W54" s="430"/>
      <c r="X54" s="430"/>
      <c r="Y54" s="430"/>
    </row>
    <row r="55" spans="1:25" ht="14.7" thickBot="1" x14ac:dyDescent="0.6">
      <c r="A55" s="317" t="s">
        <v>634</v>
      </c>
      <c r="B55" s="290">
        <v>0.3</v>
      </c>
      <c r="C55" s="305" t="s">
        <v>5</v>
      </c>
      <c r="D55" s="315"/>
      <c r="E55" s="315"/>
      <c r="F55" s="315"/>
      <c r="G55" s="315"/>
      <c r="H55" s="315"/>
      <c r="I55" s="429"/>
      <c r="J55" s="429"/>
      <c r="K55" s="429"/>
      <c r="L55" s="429"/>
      <c r="M55" s="429"/>
      <c r="N55" s="430"/>
      <c r="O55" s="430"/>
      <c r="P55" s="430"/>
      <c r="Q55" s="430"/>
      <c r="R55" s="430"/>
      <c r="S55" s="430"/>
      <c r="T55" s="430"/>
      <c r="U55" s="430"/>
      <c r="V55" s="430"/>
      <c r="W55" s="430"/>
      <c r="X55" s="430"/>
      <c r="Y55" s="430"/>
    </row>
    <row r="56" spans="1:25" ht="14.7" thickBot="1" x14ac:dyDescent="0.6">
      <c r="A56" s="321" t="s">
        <v>782</v>
      </c>
      <c r="B56" s="318"/>
      <c r="C56" s="319"/>
      <c r="D56" s="315"/>
      <c r="E56" s="315"/>
      <c r="F56" s="315"/>
      <c r="G56" s="315"/>
      <c r="H56" s="315"/>
      <c r="I56" s="429"/>
      <c r="J56" s="429"/>
      <c r="K56" s="429"/>
      <c r="L56" s="429"/>
      <c r="M56" s="429"/>
      <c r="N56" s="430"/>
      <c r="O56" s="430"/>
      <c r="P56" s="430"/>
      <c r="Q56" s="430"/>
      <c r="R56" s="430"/>
      <c r="S56" s="430"/>
      <c r="T56" s="430"/>
      <c r="U56" s="430"/>
      <c r="V56" s="430"/>
      <c r="W56" s="430"/>
      <c r="X56" s="430"/>
      <c r="Y56" s="430"/>
    </row>
    <row r="57" spans="1:25" x14ac:dyDescent="0.55000000000000004">
      <c r="A57" s="312" t="s">
        <v>871</v>
      </c>
      <c r="B57" s="291">
        <v>0</v>
      </c>
      <c r="C57" s="314" t="s">
        <v>5</v>
      </c>
      <c r="D57" s="315"/>
      <c r="E57" s="315"/>
      <c r="F57" s="315"/>
      <c r="G57" s="315"/>
      <c r="H57" s="315"/>
      <c r="I57" s="429"/>
      <c r="J57" s="429"/>
      <c r="K57" s="429"/>
      <c r="L57" s="429"/>
      <c r="M57" s="429"/>
      <c r="N57" s="430"/>
      <c r="O57" s="430"/>
      <c r="P57" s="430"/>
      <c r="Q57" s="430"/>
      <c r="R57" s="430"/>
      <c r="S57" s="430"/>
      <c r="T57" s="430"/>
      <c r="U57" s="430"/>
      <c r="V57" s="430"/>
      <c r="W57" s="430"/>
      <c r="X57" s="430"/>
      <c r="Y57" s="430"/>
    </row>
    <row r="58" spans="1:25" x14ac:dyDescent="0.55000000000000004">
      <c r="A58" s="316" t="s">
        <v>872</v>
      </c>
      <c r="B58" s="286">
        <v>0</v>
      </c>
      <c r="C58" s="299" t="s">
        <v>6</v>
      </c>
      <c r="D58" s="315"/>
      <c r="E58" s="315"/>
      <c r="F58" s="315"/>
      <c r="G58" s="315"/>
      <c r="H58" s="315"/>
      <c r="I58" s="429"/>
      <c r="J58" s="429"/>
      <c r="K58" s="429"/>
      <c r="L58" s="429"/>
      <c r="M58" s="429"/>
      <c r="N58" s="430"/>
      <c r="O58" s="430"/>
      <c r="P58" s="430"/>
      <c r="Q58" s="430"/>
      <c r="R58" s="430"/>
      <c r="S58" s="430"/>
      <c r="T58" s="430"/>
      <c r="U58" s="430"/>
      <c r="V58" s="430"/>
      <c r="W58" s="430"/>
      <c r="X58" s="430"/>
      <c r="Y58" s="430"/>
    </row>
    <row r="59" spans="1:25" x14ac:dyDescent="0.55000000000000004">
      <c r="A59" s="316" t="s">
        <v>712</v>
      </c>
      <c r="B59" s="286">
        <v>50</v>
      </c>
      <c r="C59" s="299" t="s">
        <v>280</v>
      </c>
      <c r="D59" s="315"/>
      <c r="E59" s="315"/>
      <c r="F59" s="315"/>
      <c r="G59" s="315"/>
      <c r="H59" s="315"/>
      <c r="I59" s="429"/>
      <c r="J59" s="429"/>
      <c r="K59" s="429"/>
      <c r="L59" s="429"/>
      <c r="M59" s="429"/>
      <c r="N59" s="430"/>
      <c r="O59" s="430"/>
      <c r="P59" s="430"/>
      <c r="Q59" s="430"/>
      <c r="R59" s="430"/>
      <c r="S59" s="430"/>
      <c r="T59" s="430"/>
      <c r="U59" s="430"/>
      <c r="V59" s="430"/>
      <c r="W59" s="430"/>
      <c r="X59" s="430"/>
      <c r="Y59" s="430"/>
    </row>
    <row r="60" spans="1:25" ht="14.7" thickBot="1" x14ac:dyDescent="0.6">
      <c r="A60" s="317" t="s">
        <v>634</v>
      </c>
      <c r="B60" s="290">
        <v>0.3</v>
      </c>
      <c r="C60" s="305" t="s">
        <v>5</v>
      </c>
      <c r="D60" s="315"/>
      <c r="E60" s="315"/>
      <c r="F60" s="315"/>
      <c r="G60" s="315"/>
      <c r="H60" s="315"/>
      <c r="I60" s="429"/>
      <c r="J60" s="429"/>
      <c r="K60" s="429"/>
      <c r="L60" s="429"/>
      <c r="M60" s="429"/>
      <c r="N60" s="430"/>
      <c r="O60" s="430"/>
      <c r="P60" s="430"/>
      <c r="Q60" s="430"/>
      <c r="R60" s="430"/>
      <c r="S60" s="430"/>
      <c r="T60" s="430"/>
      <c r="U60" s="430"/>
      <c r="V60" s="430"/>
      <c r="W60" s="430"/>
      <c r="X60" s="430"/>
      <c r="Y60" s="430"/>
    </row>
    <row r="61" spans="1:25" ht="15.9" thickBot="1" x14ac:dyDescent="0.65">
      <c r="A61" s="463" t="s">
        <v>7</v>
      </c>
      <c r="B61" s="464"/>
      <c r="C61" s="465"/>
      <c r="I61" s="430"/>
      <c r="J61" s="430"/>
      <c r="K61" s="430"/>
      <c r="L61" s="430"/>
      <c r="M61" s="430"/>
      <c r="N61" s="430"/>
      <c r="O61" s="430"/>
      <c r="P61" s="430"/>
      <c r="Q61" s="430"/>
      <c r="R61" s="430"/>
      <c r="S61" s="430"/>
      <c r="T61" s="430"/>
      <c r="U61" s="430"/>
      <c r="V61" s="430"/>
      <c r="W61" s="430"/>
      <c r="X61" s="430"/>
      <c r="Y61" s="430"/>
    </row>
    <row r="62" spans="1:25" x14ac:dyDescent="0.55000000000000004">
      <c r="A62" s="322" t="s">
        <v>45</v>
      </c>
      <c r="B62" s="417">
        <f>(ABS(VoutPri_FB)*IoutPri_FB)+(ABS(Vout1)*Iout1)+(ABS(Vout2)*Iout2)+(ABS(Vout3)*Iout3)+(ABS(Vout4)*Iout4)+(ABS(Vout5)*Iout5)+(ABS(Vout6)*Iout6)</f>
        <v>7.5</v>
      </c>
      <c r="C62" s="314" t="s">
        <v>86</v>
      </c>
      <c r="I62" s="430"/>
      <c r="J62" s="430"/>
      <c r="K62" s="430"/>
      <c r="L62" s="430"/>
      <c r="M62" s="430"/>
      <c r="N62" s="430"/>
      <c r="O62" s="430"/>
      <c r="P62" s="430"/>
      <c r="Q62" s="430"/>
      <c r="R62" s="430"/>
      <c r="S62" s="430"/>
      <c r="T62" s="430"/>
      <c r="U62" s="430"/>
      <c r="V62" s="430"/>
      <c r="W62" s="430"/>
      <c r="X62" s="430"/>
      <c r="Y62" s="430"/>
    </row>
    <row r="63" spans="1:25" x14ac:dyDescent="0.55000000000000004">
      <c r="A63" s="323" t="s">
        <v>46</v>
      </c>
      <c r="B63" s="411">
        <f>(ABS(VoutPri_FBB)*IoutPri_FBB)+(ABS(Vout1)*Iout1)+(ABS(Vout2)*Iout2)+(ABS(Vout3)*Iout3)+(ABS(Vout4)*Iout4)+(ABS(Vout5)*Iout5)+(ABS(Vout6)*Iout6)</f>
        <v>7.5</v>
      </c>
      <c r="C63" s="299" t="s">
        <v>86</v>
      </c>
      <c r="I63" s="430"/>
      <c r="J63" s="430"/>
      <c r="K63" s="430"/>
      <c r="L63" s="430"/>
      <c r="M63" s="430"/>
      <c r="N63" s="430"/>
      <c r="O63" s="430"/>
      <c r="P63" s="430"/>
      <c r="Q63" s="430"/>
      <c r="R63" s="430"/>
      <c r="S63" s="430"/>
      <c r="T63" s="430"/>
      <c r="U63" s="430"/>
      <c r="V63" s="430"/>
      <c r="W63" s="430"/>
      <c r="X63" s="430"/>
      <c r="Y63" s="430"/>
    </row>
    <row r="64" spans="1:25" ht="14.7" thickBot="1" x14ac:dyDescent="0.6">
      <c r="A64" s="325" t="s">
        <v>11</v>
      </c>
      <c r="B64" s="434">
        <f>(ABS(Vout1)*Iout1)+(ABS(Vout2)*Iout2)+(ABS(Vout3)*Iout3)+(ABS(Vout4)*Iout4)+(ABS(Vout5)*Iout5)+(ABS(Vout6)*Iout6)+(ABS(VOUTAUX)*IoutAux)</f>
        <v>7.5</v>
      </c>
      <c r="C64" s="305" t="s">
        <v>86</v>
      </c>
      <c r="I64" s="430"/>
      <c r="J64" s="430"/>
      <c r="K64" s="430"/>
      <c r="L64" s="430"/>
      <c r="M64" s="430"/>
      <c r="N64" s="430"/>
      <c r="O64" s="430"/>
      <c r="P64" s="430"/>
      <c r="Q64" s="430"/>
      <c r="R64" s="430"/>
      <c r="S64" s="430"/>
      <c r="T64" s="430"/>
      <c r="U64" s="430"/>
      <c r="V64" s="430"/>
      <c r="W64" s="430"/>
      <c r="X64" s="430"/>
      <c r="Y64" s="430"/>
    </row>
    <row r="65" spans="1:25" ht="14.7" thickBot="1" x14ac:dyDescent="0.6">
      <c r="A65" s="327"/>
      <c r="B65" s="315"/>
      <c r="C65" s="315"/>
      <c r="I65" s="430"/>
      <c r="J65" s="430"/>
      <c r="K65" s="430"/>
      <c r="L65" s="430"/>
      <c r="M65" s="430"/>
      <c r="N65" s="430"/>
      <c r="O65" s="430"/>
      <c r="P65" s="430"/>
      <c r="Q65" s="430"/>
      <c r="R65" s="430"/>
      <c r="S65" s="430"/>
      <c r="T65" s="430"/>
      <c r="U65" s="430"/>
      <c r="V65" s="430"/>
      <c r="W65" s="430"/>
      <c r="X65" s="430"/>
      <c r="Y65" s="430"/>
    </row>
    <row r="66" spans="1:25" ht="23.4" thickBot="1" x14ac:dyDescent="0.9">
      <c r="A66" s="480" t="s">
        <v>835</v>
      </c>
      <c r="B66" s="481"/>
      <c r="C66" s="482"/>
      <c r="I66" s="430"/>
      <c r="J66" s="430"/>
      <c r="K66" s="430"/>
      <c r="L66" s="430"/>
      <c r="M66" s="430"/>
      <c r="N66" s="430"/>
      <c r="O66" s="430"/>
      <c r="P66" s="430"/>
      <c r="Q66" s="430"/>
      <c r="R66" s="430"/>
      <c r="S66" s="430"/>
      <c r="T66" s="430"/>
      <c r="U66" s="430"/>
      <c r="V66" s="430"/>
      <c r="W66" s="430"/>
      <c r="X66" s="430"/>
      <c r="Y66" s="430"/>
    </row>
    <row r="67" spans="1:25" x14ac:dyDescent="0.55000000000000004">
      <c r="A67" s="478" t="s">
        <v>45</v>
      </c>
      <c r="B67" s="479"/>
      <c r="C67" s="328">
        <f>IF('Fly-Buck_Calc'!I120&gt;=1,1,0)</f>
        <v>1</v>
      </c>
      <c r="I67" s="430"/>
      <c r="J67" s="430"/>
      <c r="K67" s="430"/>
      <c r="L67" s="430"/>
      <c r="M67" s="430"/>
      <c r="N67" s="430"/>
      <c r="O67" s="430"/>
      <c r="P67" s="430"/>
      <c r="Q67" s="430"/>
      <c r="R67" s="430"/>
      <c r="S67" s="430"/>
      <c r="T67" s="430"/>
      <c r="U67" s="430"/>
      <c r="V67" s="430"/>
      <c r="W67" s="430"/>
      <c r="X67" s="430"/>
      <c r="Y67" s="430"/>
    </row>
    <row r="68" spans="1:25" x14ac:dyDescent="0.55000000000000004">
      <c r="A68" s="483" t="s">
        <v>46</v>
      </c>
      <c r="B68" s="484"/>
      <c r="C68" s="329">
        <f>IF('Fly-BB_Calc'!I121&gt;=1,1,0)</f>
        <v>1</v>
      </c>
      <c r="I68" s="430"/>
      <c r="J68" s="430"/>
      <c r="K68" s="430"/>
      <c r="L68" s="430"/>
      <c r="M68" s="430"/>
      <c r="N68" s="430"/>
      <c r="O68" s="430"/>
      <c r="P68" s="430"/>
      <c r="Q68" s="430"/>
      <c r="R68" s="430"/>
      <c r="S68" s="430"/>
      <c r="T68" s="430"/>
      <c r="U68" s="430"/>
      <c r="V68" s="430"/>
      <c r="W68" s="430"/>
      <c r="X68" s="430"/>
      <c r="Y68" s="430"/>
    </row>
    <row r="69" spans="1:25" ht="14.7" thickBot="1" x14ac:dyDescent="0.6">
      <c r="A69" s="485" t="s">
        <v>846</v>
      </c>
      <c r="B69" s="486"/>
      <c r="C69" s="330">
        <f>IF(Flyback_CCM_Calc!J27+Flyback_DCM_Calc!J12&gt;=1,1,0)</f>
        <v>1</v>
      </c>
      <c r="I69" s="430"/>
      <c r="J69" s="430"/>
      <c r="K69" s="430"/>
      <c r="L69" s="430"/>
      <c r="M69" s="430"/>
      <c r="N69" s="430"/>
      <c r="O69" s="430"/>
      <c r="P69" s="430"/>
      <c r="Q69" s="430"/>
      <c r="R69" s="430"/>
      <c r="S69" s="430"/>
      <c r="T69" s="430"/>
      <c r="U69" s="430"/>
      <c r="V69" s="430"/>
      <c r="W69" s="430"/>
      <c r="X69" s="430"/>
      <c r="Y69" s="430"/>
    </row>
    <row r="70" spans="1:25" ht="14.7" thickBot="1" x14ac:dyDescent="0.6">
      <c r="I70" s="430"/>
      <c r="J70" s="430"/>
      <c r="K70" s="430"/>
      <c r="L70" s="430"/>
      <c r="M70" s="430"/>
      <c r="N70" s="430"/>
      <c r="O70" s="430"/>
      <c r="P70" s="430"/>
      <c r="Q70" s="430"/>
      <c r="R70" s="430"/>
      <c r="S70" s="430"/>
      <c r="T70" s="430"/>
      <c r="U70" s="430"/>
      <c r="V70" s="430"/>
      <c r="W70" s="430"/>
      <c r="X70" s="430"/>
      <c r="Y70" s="430"/>
    </row>
    <row r="71" spans="1:25" s="459" customFormat="1" x14ac:dyDescent="0.55000000000000004">
      <c r="A71" s="458" t="s">
        <v>879</v>
      </c>
    </row>
    <row r="72" spans="1:25" s="461" customFormat="1" ht="14.7" thickBot="1" x14ac:dyDescent="0.6">
      <c r="A72" s="460"/>
    </row>
    <row r="74" spans="1:25" ht="14.7" thickBot="1" x14ac:dyDescent="0.6"/>
    <row r="75" spans="1:25" s="334" customFormat="1" ht="30" customHeight="1" thickBot="1" x14ac:dyDescent="0.6">
      <c r="A75" s="491" t="s">
        <v>904</v>
      </c>
      <c r="B75" s="492"/>
      <c r="C75" s="492"/>
      <c r="D75" s="492"/>
      <c r="E75" s="493"/>
      <c r="F75" s="331"/>
      <c r="G75" s="332"/>
      <c r="H75" s="333"/>
      <c r="I75" s="333"/>
      <c r="J75" s="333"/>
      <c r="K75" s="333"/>
      <c r="L75" s="333"/>
      <c r="M75" s="333"/>
      <c r="N75" s="333"/>
      <c r="P75" s="475" t="s">
        <v>906</v>
      </c>
      <c r="Q75" s="476"/>
      <c r="R75" s="476"/>
      <c r="S75" s="476"/>
      <c r="T75" s="476"/>
      <c r="U75" s="476"/>
      <c r="V75" s="476"/>
      <c r="W75" s="477"/>
    </row>
    <row r="76" spans="1:25" s="334" customFormat="1" ht="32.25" customHeight="1" thickBot="1" x14ac:dyDescent="0.6">
      <c r="A76" s="335"/>
      <c r="B76" s="487" t="s">
        <v>917</v>
      </c>
      <c r="C76" s="488"/>
      <c r="D76" s="336" t="s">
        <v>934</v>
      </c>
      <c r="E76" s="337" t="s">
        <v>935</v>
      </c>
      <c r="G76" s="333"/>
      <c r="H76" s="333"/>
      <c r="I76" s="333"/>
      <c r="J76" s="333"/>
      <c r="K76" s="333"/>
      <c r="L76" s="333"/>
      <c r="M76" s="333"/>
      <c r="N76" s="333"/>
    </row>
    <row r="77" spans="1:25" x14ac:dyDescent="0.55000000000000004">
      <c r="A77" s="316" t="s">
        <v>45</v>
      </c>
      <c r="B77" s="489" t="str">
        <f>'Fly-Buck'!B37</f>
        <v>LM5160</v>
      </c>
      <c r="C77" s="490"/>
      <c r="D77" s="338">
        <f>'Fly-Buck_Calc'!B78</f>
        <v>16</v>
      </c>
      <c r="E77" s="339" t="str">
        <f t="shared" ref="E77:E84" si="0">IF(H77&lt;2,"$",IF(H77&lt;3,"$$",IF(H77&lt;4,"$$$",IF(H77&lt;5,"$$$$",IF(H77&lt;6,"$$$$$",IF(H77&lt;7,"$$$$$$",IF(H77&lt;8,"$$$$$$$")))))))</f>
        <v>$$$$$$$</v>
      </c>
      <c r="F77" s="340">
        <f>'Fly-Buck_Calc'!B79</f>
        <v>4.6180000000000003</v>
      </c>
      <c r="G77" s="340"/>
      <c r="H77" s="340">
        <f t="shared" ref="H77:H84" si="1">_xlfn.RANK.EQ(F77,$F$77:$F$84,1)</f>
        <v>7</v>
      </c>
      <c r="I77" s="341"/>
      <c r="J77" s="341"/>
      <c r="K77" s="341"/>
      <c r="L77" s="341"/>
      <c r="M77" s="341"/>
      <c r="N77" s="341"/>
    </row>
    <row r="78" spans="1:25" x14ac:dyDescent="0.55000000000000004">
      <c r="A78" s="316" t="s">
        <v>46</v>
      </c>
      <c r="B78" s="456" t="str">
        <f>'Fly-Buck-Boost'!B38</f>
        <v>LM5160</v>
      </c>
      <c r="C78" s="457"/>
      <c r="D78" s="342">
        <f>'Fly-Buck_Calc'!B78</f>
        <v>16</v>
      </c>
      <c r="E78" s="343" t="str">
        <f t="shared" si="0"/>
        <v>$$$$$$$</v>
      </c>
      <c r="F78" s="340">
        <f>'Fly-Buck_Calc'!B79</f>
        <v>4.6180000000000003</v>
      </c>
      <c r="G78" s="340"/>
      <c r="H78" s="340">
        <f t="shared" si="1"/>
        <v>7</v>
      </c>
      <c r="I78" s="341"/>
      <c r="J78" s="341"/>
      <c r="K78" s="341"/>
      <c r="L78" s="341"/>
      <c r="M78" s="341"/>
      <c r="N78" s="341"/>
    </row>
    <row r="79" spans="1:25" x14ac:dyDescent="0.55000000000000004">
      <c r="A79" s="316" t="s">
        <v>853</v>
      </c>
      <c r="B79" s="456" t="str">
        <f>'Flyback CCM'!$B$40</f>
        <v>LM5022</v>
      </c>
      <c r="C79" s="457"/>
      <c r="D79" s="342">
        <f>Flyback_CCM_Calc!B94</f>
        <v>22</v>
      </c>
      <c r="E79" s="343" t="str">
        <f t="shared" si="0"/>
        <v>$$$$$$</v>
      </c>
      <c r="F79" s="340">
        <f>Flyback_CCM_Calc!B95</f>
        <v>4.4825000000000008</v>
      </c>
      <c r="G79" s="340"/>
      <c r="H79" s="340">
        <f t="shared" si="1"/>
        <v>6</v>
      </c>
      <c r="I79" s="341"/>
      <c r="J79" s="341"/>
      <c r="K79" s="341"/>
      <c r="L79" s="341"/>
      <c r="M79" s="341"/>
      <c r="N79" s="341"/>
    </row>
    <row r="80" spans="1:25" x14ac:dyDescent="0.55000000000000004">
      <c r="A80" s="316" t="s">
        <v>854</v>
      </c>
      <c r="B80" s="456" t="str">
        <f>'Flyback CCM'!$B$40</f>
        <v>LM5022</v>
      </c>
      <c r="C80" s="457"/>
      <c r="D80" s="342">
        <f>Flyback_CCM_Calc!B96</f>
        <v>19</v>
      </c>
      <c r="E80" s="343" t="str">
        <f>IF(H80&lt;2,"$",IF(H80&lt;3,"$$",IF(H80&lt;4,"$$$",IF(H80&lt;5,"$$$$",IF(H80&lt;6,"$$$$$",IF(H80&lt;7,"$$$$$$",IF(H80&lt;8,"$$$$$$$")))))))</f>
        <v>$$$$</v>
      </c>
      <c r="F80" s="340">
        <f>Flyback_CCM_Calc!B97</f>
        <v>4.2625000000000002</v>
      </c>
      <c r="G80" s="340"/>
      <c r="H80" s="340">
        <f t="shared" si="1"/>
        <v>4</v>
      </c>
      <c r="I80" s="341"/>
      <c r="J80" s="341"/>
      <c r="K80" s="341"/>
      <c r="L80" s="341"/>
      <c r="M80" s="341"/>
      <c r="N80" s="341"/>
    </row>
    <row r="81" spans="1:14" x14ac:dyDescent="0.55000000000000004">
      <c r="A81" s="316" t="s">
        <v>855</v>
      </c>
      <c r="B81" s="456" t="str">
        <f>'Flyback CCM'!$B$40</f>
        <v>LM5022</v>
      </c>
      <c r="C81" s="457"/>
      <c r="D81" s="342">
        <f>Flyback_CCM_Calc!B96</f>
        <v>19</v>
      </c>
      <c r="E81" s="343" t="str">
        <f t="shared" si="0"/>
        <v>$$$$</v>
      </c>
      <c r="F81" s="340">
        <f>Flyback_CCM_Calc!B97</f>
        <v>4.2625000000000002</v>
      </c>
      <c r="G81" s="340"/>
      <c r="H81" s="340">
        <f t="shared" si="1"/>
        <v>4</v>
      </c>
      <c r="I81" s="341"/>
      <c r="J81" s="341"/>
      <c r="K81" s="341"/>
      <c r="L81" s="341"/>
      <c r="M81" s="341"/>
      <c r="N81" s="341"/>
    </row>
    <row r="82" spans="1:14" x14ac:dyDescent="0.55000000000000004">
      <c r="A82" s="316" t="s">
        <v>856</v>
      </c>
      <c r="B82" s="456" t="str">
        <f>'Flyback DCM'!B41</f>
        <v>LM3481</v>
      </c>
      <c r="C82" s="457"/>
      <c r="D82" s="342">
        <f>Flyback_DCM_Calc!B93</f>
        <v>21</v>
      </c>
      <c r="E82" s="343" t="str">
        <f t="shared" si="0"/>
        <v>$$$</v>
      </c>
      <c r="F82" s="340">
        <f>Flyback_DCM_Calc!B94</f>
        <v>4.1700000000000008</v>
      </c>
      <c r="G82" s="340"/>
      <c r="H82" s="340">
        <f t="shared" si="1"/>
        <v>3</v>
      </c>
      <c r="I82" s="341"/>
      <c r="J82" s="341"/>
      <c r="K82" s="341"/>
      <c r="L82" s="341"/>
      <c r="M82" s="341"/>
      <c r="N82" s="341"/>
    </row>
    <row r="83" spans="1:14" x14ac:dyDescent="0.55000000000000004">
      <c r="A83" s="316" t="s">
        <v>857</v>
      </c>
      <c r="B83" s="456" t="str">
        <f>'Flyback DCM'!B41</f>
        <v>LM3481</v>
      </c>
      <c r="C83" s="457"/>
      <c r="D83" s="342">
        <f>Flyback_DCM_Calc!B95</f>
        <v>18</v>
      </c>
      <c r="E83" s="343" t="str">
        <f t="shared" si="0"/>
        <v>$</v>
      </c>
      <c r="F83" s="340">
        <f>Flyback_DCM_Calc!B96</f>
        <v>3.95</v>
      </c>
      <c r="G83" s="340"/>
      <c r="H83" s="340">
        <f t="shared" si="1"/>
        <v>1</v>
      </c>
      <c r="I83" s="341"/>
      <c r="J83" s="341"/>
      <c r="K83" s="341"/>
      <c r="L83" s="341"/>
      <c r="M83" s="341"/>
      <c r="N83" s="341"/>
    </row>
    <row r="84" spans="1:14" ht="14.7" thickBot="1" x14ac:dyDescent="0.6">
      <c r="A84" s="317" t="s">
        <v>858</v>
      </c>
      <c r="B84" s="494" t="str">
        <f>'Flyback DCM'!B41</f>
        <v>LM3481</v>
      </c>
      <c r="C84" s="495"/>
      <c r="D84" s="344">
        <f>Flyback_DCM_Calc!B95</f>
        <v>18</v>
      </c>
      <c r="E84" s="345" t="str">
        <f t="shared" si="0"/>
        <v>$</v>
      </c>
      <c r="F84" s="340">
        <f>Flyback_DCM_Calc!B96</f>
        <v>3.95</v>
      </c>
      <c r="G84" s="340"/>
      <c r="H84" s="340">
        <f t="shared" si="1"/>
        <v>1</v>
      </c>
      <c r="I84" s="341"/>
      <c r="J84" s="341"/>
      <c r="K84" s="341"/>
      <c r="L84" s="341"/>
      <c r="M84" s="341"/>
      <c r="N84" s="341"/>
    </row>
    <row r="85" spans="1:14" x14ac:dyDescent="0.55000000000000004">
      <c r="B85" s="346"/>
      <c r="C85" s="346"/>
      <c r="G85" s="341"/>
      <c r="H85" s="341"/>
      <c r="I85" s="341"/>
      <c r="J85" s="341"/>
      <c r="K85" s="341"/>
      <c r="L85" s="341"/>
      <c r="M85" s="341"/>
      <c r="N85" s="341"/>
    </row>
    <row r="86" spans="1:14" ht="14.7" thickBot="1" x14ac:dyDescent="0.6">
      <c r="B86" s="346"/>
      <c r="C86" s="346"/>
      <c r="G86" s="341"/>
      <c r="H86" s="341"/>
      <c r="I86" s="341"/>
      <c r="J86" s="341"/>
      <c r="K86" s="341"/>
      <c r="L86" s="341"/>
      <c r="M86" s="341"/>
      <c r="N86" s="341"/>
    </row>
    <row r="87" spans="1:14" ht="15" customHeight="1" x14ac:dyDescent="0.55000000000000004">
      <c r="A87" s="469" t="s">
        <v>905</v>
      </c>
      <c r="B87" s="470"/>
      <c r="C87" s="470"/>
      <c r="D87" s="470"/>
      <c r="E87" s="471"/>
      <c r="G87" s="341"/>
      <c r="H87" s="341"/>
      <c r="I87" s="341"/>
      <c r="J87" s="341"/>
      <c r="K87" s="341"/>
      <c r="L87" s="341"/>
      <c r="M87" s="341"/>
      <c r="N87" s="341"/>
    </row>
    <row r="88" spans="1:14" ht="15.75" customHeight="1" thickBot="1" x14ac:dyDescent="0.6">
      <c r="A88" s="472"/>
      <c r="B88" s="473"/>
      <c r="C88" s="473"/>
      <c r="D88" s="473"/>
      <c r="E88" s="474"/>
    </row>
    <row r="89" spans="1:14" x14ac:dyDescent="0.55000000000000004">
      <c r="B89" s="346"/>
      <c r="C89" s="346"/>
    </row>
    <row r="104" spans="26:26" x14ac:dyDescent="0.55000000000000004">
      <c r="Z104" s="410" t="s">
        <v>950</v>
      </c>
    </row>
  </sheetData>
  <sheetProtection password="E1A4" sheet="1" objects="1" scenarios="1"/>
  <mergeCells count="24">
    <mergeCell ref="A87:E88"/>
    <mergeCell ref="P75:W75"/>
    <mergeCell ref="A61:C61"/>
    <mergeCell ref="A71:XFD72"/>
    <mergeCell ref="A67:B67"/>
    <mergeCell ref="A66:C66"/>
    <mergeCell ref="A68:B68"/>
    <mergeCell ref="A69:B69"/>
    <mergeCell ref="B76:C76"/>
    <mergeCell ref="B77:C77"/>
    <mergeCell ref="B78:C78"/>
    <mergeCell ref="B79:C79"/>
    <mergeCell ref="A75:E75"/>
    <mergeCell ref="B84:C84"/>
    <mergeCell ref="B80:C80"/>
    <mergeCell ref="B81:C81"/>
    <mergeCell ref="B82:C82"/>
    <mergeCell ref="B83:C83"/>
    <mergeCell ref="A1:XFD2"/>
    <mergeCell ref="E5:G5"/>
    <mergeCell ref="A30:C30"/>
    <mergeCell ref="A14:C14"/>
    <mergeCell ref="A13:C13"/>
    <mergeCell ref="A4:C4"/>
  </mergeCells>
  <conditionalFormatting sqref="C67:C69">
    <cfRule type="cellIs" dxfId="23" priority="1" operator="equal">
      <formula>0</formula>
    </cfRule>
    <cfRule type="cellIs" dxfId="22" priority="2" operator="equal">
      <formula>1</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88" r:id="rId4">
          <objectPr defaultSize="0" autoPict="0" r:id="rId5">
            <anchor moveWithCells="1">
              <from>
                <xdr:col>3</xdr:col>
                <xdr:colOff>190500</xdr:colOff>
                <xdr:row>15</xdr:row>
                <xdr:rowOff>57150</xdr:rowOff>
              </from>
              <to>
                <xdr:col>9</xdr:col>
                <xdr:colOff>723900</xdr:colOff>
                <xdr:row>28</xdr:row>
                <xdr:rowOff>190500</xdr:rowOff>
              </to>
            </anchor>
          </objectPr>
        </oleObject>
      </mc:Choice>
      <mc:Fallback>
        <oleObject progId="Visio.Drawing.11" shapeId="1088" r:id="rId4"/>
      </mc:Fallback>
    </mc:AlternateContent>
    <mc:AlternateContent xmlns:mc="http://schemas.openxmlformats.org/markup-compatibility/2006">
      <mc:Choice Requires="x14">
        <oleObject progId="Visio.Drawing.11" shapeId="1089" r:id="rId6">
          <objectPr defaultSize="0" autoPict="0" r:id="rId7">
            <anchor moveWithCells="1">
              <from>
                <xdr:col>10</xdr:col>
                <xdr:colOff>38100</xdr:colOff>
                <xdr:row>15</xdr:row>
                <xdr:rowOff>68580</xdr:rowOff>
              </from>
              <to>
                <xdr:col>16</xdr:col>
                <xdr:colOff>419100</xdr:colOff>
                <xdr:row>29</xdr:row>
                <xdr:rowOff>0</xdr:rowOff>
              </to>
            </anchor>
          </objectPr>
        </oleObject>
      </mc:Choice>
      <mc:Fallback>
        <oleObject progId="Visio.Drawing.11" shapeId="1089" r:id="rId6"/>
      </mc:Fallback>
    </mc:AlternateContent>
    <mc:AlternateContent xmlns:mc="http://schemas.openxmlformats.org/markup-compatibility/2006">
      <mc:Choice Requires="x14">
        <oleObject progId="Visio.Drawing.11" shapeId="1090" r:id="rId8">
          <objectPr defaultSize="0" autoPict="0" r:id="rId9">
            <anchor moveWithCells="1">
              <from>
                <xdr:col>16</xdr:col>
                <xdr:colOff>563880</xdr:colOff>
                <xdr:row>15</xdr:row>
                <xdr:rowOff>49530</xdr:rowOff>
              </from>
              <to>
                <xdr:col>23</xdr:col>
                <xdr:colOff>297180</xdr:colOff>
                <xdr:row>29</xdr:row>
                <xdr:rowOff>30480</xdr:rowOff>
              </to>
            </anchor>
          </objectPr>
        </oleObject>
      </mc:Choice>
      <mc:Fallback>
        <oleObject progId="Visio.Drawing.11" shapeId="1090" r:id="rId8"/>
      </mc:Fallback>
    </mc:AlternateContent>
    <mc:AlternateContent xmlns:mc="http://schemas.openxmlformats.org/markup-compatibility/2006">
      <mc:Choice Requires="x14">
        <oleObject progId="Visio.Drawing.11" shapeId="1092" r:id="rId10">
          <objectPr defaultSize="0" autoPict="0" r:id="rId11">
            <anchor moveWithCells="1">
              <from>
                <xdr:col>3</xdr:col>
                <xdr:colOff>297180</xdr:colOff>
                <xdr:row>29</xdr:row>
                <xdr:rowOff>209550</xdr:rowOff>
              </from>
              <to>
                <xdr:col>7</xdr:col>
                <xdr:colOff>514350</xdr:colOff>
                <xdr:row>60</xdr:row>
                <xdr:rowOff>11430</xdr:rowOff>
              </to>
            </anchor>
          </objectPr>
        </oleObject>
      </mc:Choice>
      <mc:Fallback>
        <oleObject progId="Visio.Drawing.11" shapeId="1092"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3"/>
  <sheetViews>
    <sheetView zoomScale="85" zoomScaleNormal="85" workbookViewId="0">
      <selection activeCell="B17" sqref="B17"/>
    </sheetView>
  </sheetViews>
  <sheetFormatPr defaultColWidth="9.15625" defaultRowHeight="14.4" x14ac:dyDescent="0.55000000000000004"/>
  <cols>
    <col min="1" max="1" width="28.83984375" style="297" bestFit="1" customWidth="1"/>
    <col min="2" max="2" width="12" style="297" bestFit="1" customWidth="1"/>
    <col min="3" max="3" width="4.15625" style="297" bestFit="1" customWidth="1"/>
    <col min="4" max="9" width="9.15625" style="297"/>
    <col min="10" max="10" width="28.68359375" style="297" customWidth="1"/>
    <col min="11" max="16384" width="9.15625" style="297"/>
  </cols>
  <sheetData>
    <row r="1" spans="1:26" s="496" customFormat="1" x14ac:dyDescent="0.55000000000000004">
      <c r="A1" s="496" t="s">
        <v>775</v>
      </c>
    </row>
    <row r="2" spans="1:26" s="496" customFormat="1" x14ac:dyDescent="0.55000000000000004"/>
    <row r="4" spans="1:26" ht="19.5" thickBot="1" x14ac:dyDescent="0.35">
      <c r="F4" s="462" t="s">
        <v>868</v>
      </c>
      <c r="G4" s="462"/>
      <c r="H4" s="462"/>
    </row>
    <row r="5" spans="1:26" ht="19.5" thickBot="1" x14ac:dyDescent="0.35">
      <c r="F5" s="301"/>
      <c r="G5" s="297" t="s">
        <v>867</v>
      </c>
      <c r="K5" s="513" t="s">
        <v>799</v>
      </c>
      <c r="L5" s="513"/>
      <c r="M5" s="513"/>
      <c r="N5" s="513"/>
      <c r="O5" s="513"/>
      <c r="P5" s="513"/>
      <c r="Q5" s="513"/>
      <c r="R5" s="513"/>
      <c r="S5" s="513"/>
      <c r="T5" s="513"/>
      <c r="U5" s="513"/>
      <c r="V5" s="513"/>
      <c r="W5" s="513"/>
      <c r="X5" s="513"/>
      <c r="Y5" s="513"/>
      <c r="Z5" s="513"/>
    </row>
    <row r="6" spans="1:26" ht="15.75" thickBot="1" x14ac:dyDescent="0.3">
      <c r="F6" s="302"/>
      <c r="G6" s="297" t="s">
        <v>869</v>
      </c>
      <c r="K6" s="340" t="s">
        <v>800</v>
      </c>
      <c r="L6" s="340"/>
      <c r="M6" s="340"/>
      <c r="N6" s="340" t="s">
        <v>802</v>
      </c>
      <c r="O6" s="340"/>
      <c r="P6" s="340" t="s">
        <v>804</v>
      </c>
      <c r="Q6" s="340"/>
      <c r="R6" s="340"/>
      <c r="S6" s="340"/>
      <c r="T6" s="340"/>
      <c r="U6" s="340"/>
      <c r="V6" s="340"/>
      <c r="W6" s="340"/>
      <c r="X6" s="340"/>
      <c r="Y6" s="340"/>
      <c r="Z6" s="340"/>
    </row>
    <row r="7" spans="1:26" ht="15.75" thickBot="1" x14ac:dyDescent="0.3">
      <c r="F7" s="303"/>
      <c r="G7" s="297" t="s">
        <v>942</v>
      </c>
      <c r="K7" s="340" t="s">
        <v>801</v>
      </c>
      <c r="L7" s="340"/>
      <c r="M7" s="340"/>
      <c r="N7" s="425" t="s">
        <v>803</v>
      </c>
      <c r="O7" s="340"/>
      <c r="P7" s="340"/>
      <c r="Q7" s="340"/>
      <c r="R7" s="340"/>
      <c r="S7" s="340"/>
      <c r="T7" s="340"/>
      <c r="U7" s="340"/>
      <c r="V7" s="340"/>
      <c r="W7" s="340"/>
      <c r="X7" s="340"/>
      <c r="Y7" s="340"/>
      <c r="Z7" s="340"/>
    </row>
    <row r="8" spans="1:26" ht="15" x14ac:dyDescent="0.25">
      <c r="K8" s="340" t="s">
        <v>923</v>
      </c>
      <c r="L8" s="340"/>
      <c r="M8" s="340"/>
      <c r="N8" s="425" t="s">
        <v>924</v>
      </c>
      <c r="O8" s="340"/>
      <c r="P8" s="340"/>
      <c r="Q8" s="340"/>
      <c r="R8" s="340"/>
      <c r="S8" s="340"/>
      <c r="T8" s="340"/>
      <c r="U8" s="340"/>
      <c r="V8" s="340"/>
      <c r="W8" s="340"/>
      <c r="X8" s="340"/>
      <c r="Y8" s="340"/>
      <c r="Z8" s="340"/>
    </row>
    <row r="13" spans="1:26" ht="15.75" thickBot="1" x14ac:dyDescent="0.3"/>
    <row r="14" spans="1:26" ht="19.5" thickBot="1" x14ac:dyDescent="0.35">
      <c r="A14" s="497" t="s">
        <v>20</v>
      </c>
      <c r="B14" s="499"/>
      <c r="C14" s="347"/>
      <c r="D14" s="348" t="s">
        <v>21</v>
      </c>
      <c r="E14" s="349"/>
      <c r="F14" s="350"/>
      <c r="G14" s="497" t="s">
        <v>447</v>
      </c>
      <c r="H14" s="499"/>
    </row>
    <row r="15" spans="1:26" x14ac:dyDescent="0.55000000000000004">
      <c r="A15" s="411" t="s">
        <v>13</v>
      </c>
      <c r="B15" s="352">
        <f>IF(Ns1_FlyB_Calc&lt;&gt;0,Ns1_FlyB_Calc/Np,0)</f>
        <v>1.02</v>
      </c>
      <c r="C15" s="353"/>
      <c r="D15" s="411" t="s">
        <v>13</v>
      </c>
      <c r="E15" s="291">
        <v>1.5</v>
      </c>
      <c r="F15" s="353"/>
      <c r="G15" s="291">
        <v>20</v>
      </c>
      <c r="H15" s="314" t="s">
        <v>422</v>
      </c>
    </row>
    <row r="16" spans="1:26" x14ac:dyDescent="0.55000000000000004">
      <c r="A16" s="354" t="s">
        <v>14</v>
      </c>
      <c r="B16" s="355">
        <f>IF(Ns2_FlyB_Calc&lt;&gt;0,Ns2_FlyB_Calc/Np,0)</f>
        <v>0</v>
      </c>
      <c r="C16" s="315"/>
      <c r="D16" s="315" t="s">
        <v>14</v>
      </c>
      <c r="E16" s="286">
        <v>0</v>
      </c>
      <c r="F16" s="315"/>
      <c r="G16" s="286">
        <v>20</v>
      </c>
      <c r="H16" s="299" t="s">
        <v>422</v>
      </c>
    </row>
    <row r="17" spans="1:16" x14ac:dyDescent="0.55000000000000004">
      <c r="A17" s="354" t="s">
        <v>15</v>
      </c>
      <c r="B17" s="355">
        <f>IF(Ns3_FlyB_Calc&lt;&gt;0,Ns3_FlyB_Calc/Np,0)</f>
        <v>0</v>
      </c>
      <c r="C17" s="315"/>
      <c r="D17" s="315" t="s">
        <v>15</v>
      </c>
      <c r="E17" s="286">
        <v>0</v>
      </c>
      <c r="F17" s="315"/>
      <c r="G17" s="286">
        <v>0</v>
      </c>
      <c r="H17" s="299" t="s">
        <v>422</v>
      </c>
    </row>
    <row r="18" spans="1:16" x14ac:dyDescent="0.55000000000000004">
      <c r="A18" s="354" t="s">
        <v>16</v>
      </c>
      <c r="B18" s="355">
        <f>IF(Ns4_FlyB_Calc&lt;&gt;0,Ns4_FlyB_Calc/Np,0)</f>
        <v>0</v>
      </c>
      <c r="C18" s="315"/>
      <c r="D18" s="315" t="s">
        <v>16</v>
      </c>
      <c r="E18" s="286">
        <v>0</v>
      </c>
      <c r="F18" s="315"/>
      <c r="G18" s="286">
        <v>0</v>
      </c>
      <c r="H18" s="299" t="s">
        <v>422</v>
      </c>
    </row>
    <row r="19" spans="1:16" x14ac:dyDescent="0.55000000000000004">
      <c r="A19" s="354" t="s">
        <v>17</v>
      </c>
      <c r="B19" s="355">
        <f>IF(Ns5_FlyB_Calc&lt;&gt;0,Ns5_FlyB_Calc/Np,0)</f>
        <v>0</v>
      </c>
      <c r="C19" s="315"/>
      <c r="D19" s="315" t="s">
        <v>17</v>
      </c>
      <c r="E19" s="286">
        <v>0</v>
      </c>
      <c r="F19" s="315"/>
      <c r="G19" s="286">
        <v>0</v>
      </c>
      <c r="H19" s="299" t="s">
        <v>422</v>
      </c>
    </row>
    <row r="20" spans="1:16" ht="14.7" thickBot="1" x14ac:dyDescent="0.6">
      <c r="A20" s="356" t="s">
        <v>18</v>
      </c>
      <c r="B20" s="357">
        <f>IF(Ns6_FlyB_Calc&lt;&gt;0,Ns6_FlyB_Calc/Np,0)</f>
        <v>0</v>
      </c>
      <c r="C20" s="358"/>
      <c r="D20" s="358" t="s">
        <v>18</v>
      </c>
      <c r="E20" s="290">
        <v>0</v>
      </c>
      <c r="F20" s="358"/>
      <c r="G20" s="290">
        <v>0</v>
      </c>
      <c r="H20" s="305" t="s">
        <v>422</v>
      </c>
    </row>
    <row r="21" spans="1:16" ht="15.75" thickBot="1" x14ac:dyDescent="0.3"/>
    <row r="22" spans="1:16" ht="19.5" thickBot="1" x14ac:dyDescent="0.35">
      <c r="A22" s="497" t="s">
        <v>776</v>
      </c>
      <c r="B22" s="498"/>
      <c r="C22" s="499"/>
    </row>
    <row r="23" spans="1:16" x14ac:dyDescent="0.55000000000000004">
      <c r="A23" s="351" t="s">
        <v>937</v>
      </c>
      <c r="B23" s="359">
        <f>Lcalc_FB_VinNom*(10^6)</f>
        <v>62.499999999999986</v>
      </c>
      <c r="C23" s="314" t="s">
        <v>952</v>
      </c>
    </row>
    <row r="24" spans="1:16" x14ac:dyDescent="0.55000000000000004">
      <c r="A24" s="354" t="s">
        <v>45</v>
      </c>
      <c r="B24" s="286">
        <v>60</v>
      </c>
      <c r="C24" s="299" t="s">
        <v>952</v>
      </c>
    </row>
    <row r="25" spans="1:16" ht="14.7" thickBot="1" x14ac:dyDescent="0.6">
      <c r="A25" s="356" t="s">
        <v>447</v>
      </c>
      <c r="B25" s="290">
        <v>70</v>
      </c>
      <c r="C25" s="305" t="s">
        <v>448</v>
      </c>
      <c r="P25" s="411"/>
    </row>
    <row r="26" spans="1:16" ht="15.75" thickBot="1" x14ac:dyDescent="0.3"/>
    <row r="27" spans="1:16" ht="19.5" thickBot="1" x14ac:dyDescent="0.35">
      <c r="A27" s="360" t="s">
        <v>938</v>
      </c>
      <c r="B27" s="349"/>
      <c r="C27" s="350"/>
    </row>
    <row r="28" spans="1:16" ht="15" x14ac:dyDescent="0.25">
      <c r="A28" s="351" t="s">
        <v>939</v>
      </c>
      <c r="B28" s="352">
        <f>MAX('Fly-Buck_Calc'!T4:T54)</f>
        <v>0.8125</v>
      </c>
      <c r="C28" s="361" t="s">
        <v>6</v>
      </c>
    </row>
    <row r="29" spans="1:16" ht="15" x14ac:dyDescent="0.25">
      <c r="A29" s="354" t="s">
        <v>940</v>
      </c>
      <c r="B29" s="355">
        <f>MAX('Fly-Buck_Calc'!S4:S54)</f>
        <v>0.625</v>
      </c>
      <c r="C29" s="362" t="s">
        <v>6</v>
      </c>
    </row>
    <row r="30" spans="1:16" ht="15.75" thickBot="1" x14ac:dyDescent="0.3">
      <c r="A30" s="356" t="s">
        <v>941</v>
      </c>
      <c r="B30" s="357">
        <f>MAX('Fly-Buck_Calc'!V4:V54)</f>
        <v>0.97494657973313248</v>
      </c>
      <c r="C30" s="363" t="s">
        <v>6</v>
      </c>
    </row>
    <row r="31" spans="1:16" ht="15.75" thickBot="1" x14ac:dyDescent="0.3">
      <c r="A31" s="315"/>
      <c r="B31" s="364"/>
      <c r="C31" s="315"/>
      <c r="F31" s="315"/>
      <c r="G31" s="315"/>
      <c r="H31" s="315"/>
      <c r="I31" s="315"/>
    </row>
    <row r="32" spans="1:16" ht="19.5" thickBot="1" x14ac:dyDescent="0.35">
      <c r="A32" s="497" t="s">
        <v>615</v>
      </c>
      <c r="B32" s="498"/>
      <c r="C32" s="499"/>
      <c r="F32" s="315"/>
      <c r="G32" s="315"/>
      <c r="H32" s="315"/>
      <c r="I32" s="315"/>
    </row>
    <row r="33" spans="1:9" ht="15" x14ac:dyDescent="0.25">
      <c r="A33" s="351" t="s">
        <v>108</v>
      </c>
      <c r="B33" s="502">
        <f>'Fly-Buck_Calc'!F120</f>
        <v>0</v>
      </c>
      <c r="C33" s="503"/>
      <c r="D33" s="315"/>
      <c r="F33" s="315"/>
    </row>
    <row r="34" spans="1:9" ht="15" x14ac:dyDescent="0.25">
      <c r="A34" s="354" t="s">
        <v>109</v>
      </c>
      <c r="B34" s="504">
        <f>'Fly-Buck_Calc'!F112</f>
        <v>0</v>
      </c>
      <c r="C34" s="505"/>
      <c r="D34" s="315"/>
      <c r="F34" s="315"/>
      <c r="G34" s="315"/>
      <c r="H34" s="315"/>
      <c r="I34" s="315"/>
    </row>
    <row r="35" spans="1:9" ht="15" x14ac:dyDescent="0.25">
      <c r="A35" s="354" t="s">
        <v>110</v>
      </c>
      <c r="B35" s="504">
        <f>'Fly-Buck_Calc'!F104</f>
        <v>1</v>
      </c>
      <c r="C35" s="505"/>
      <c r="D35" s="315"/>
      <c r="F35" s="315"/>
      <c r="H35" s="315"/>
      <c r="I35" s="315"/>
    </row>
    <row r="36" spans="1:9" x14ac:dyDescent="0.55000000000000004">
      <c r="A36" s="354" t="s">
        <v>514</v>
      </c>
      <c r="B36" s="504">
        <f>'Fly-Buck_Calc'!F96</f>
        <v>1</v>
      </c>
      <c r="C36" s="505"/>
      <c r="D36" s="315"/>
      <c r="F36" s="315"/>
      <c r="G36" s="315"/>
      <c r="H36" s="315"/>
      <c r="I36" s="315"/>
    </row>
    <row r="37" spans="1:9" ht="14.7" thickBot="1" x14ac:dyDescent="0.6">
      <c r="A37" s="365" t="s">
        <v>517</v>
      </c>
      <c r="B37" s="506" t="s">
        <v>514</v>
      </c>
      <c r="C37" s="507"/>
      <c r="D37" s="315"/>
      <c r="F37" s="315"/>
      <c r="G37" s="315"/>
      <c r="H37" s="315"/>
      <c r="I37" s="315"/>
    </row>
    <row r="38" spans="1:9" x14ac:dyDescent="0.55000000000000004">
      <c r="A38" s="315"/>
      <c r="B38" s="315"/>
      <c r="C38" s="315"/>
      <c r="D38" s="315"/>
      <c r="F38" s="315"/>
      <c r="G38" s="315"/>
      <c r="H38" s="315"/>
      <c r="I38" s="315"/>
    </row>
    <row r="39" spans="1:9" x14ac:dyDescent="0.55000000000000004">
      <c r="A39" s="315"/>
      <c r="B39" s="315"/>
      <c r="C39" s="315"/>
      <c r="D39" s="315"/>
      <c r="F39" s="315"/>
      <c r="G39" s="315"/>
      <c r="H39" s="315"/>
      <c r="I39" s="315"/>
    </row>
    <row r="40" spans="1:9" x14ac:dyDescent="0.55000000000000004">
      <c r="A40" s="315"/>
      <c r="B40" s="364"/>
      <c r="C40" s="315"/>
      <c r="F40" s="315"/>
      <c r="G40" s="315"/>
      <c r="H40" s="315"/>
      <c r="I40" s="315"/>
    </row>
    <row r="84" spans="1:14" ht="14.7" thickBot="1" x14ac:dyDescent="0.6"/>
    <row r="85" spans="1:14" ht="18.600000000000001" thickBot="1" x14ac:dyDescent="0.75">
      <c r="A85" s="497" t="s">
        <v>630</v>
      </c>
      <c r="B85" s="500"/>
      <c r="C85" s="501"/>
    </row>
    <row r="86" spans="1:14" x14ac:dyDescent="0.55000000000000004">
      <c r="A86" s="411" t="s">
        <v>777</v>
      </c>
      <c r="B86" s="384">
        <f>'Fly-Buck_Calc'!B55</f>
        <v>82.5</v>
      </c>
      <c r="C86" s="361" t="s">
        <v>5</v>
      </c>
      <c r="L86" s="315"/>
      <c r="M86" s="315"/>
      <c r="N86" s="315"/>
    </row>
    <row r="87" spans="1:14" x14ac:dyDescent="0.55000000000000004">
      <c r="A87" s="354" t="s">
        <v>778</v>
      </c>
      <c r="B87" s="380">
        <f>'Fly-Buck_Calc'!B56</f>
        <v>0</v>
      </c>
      <c r="C87" s="362" t="s">
        <v>5</v>
      </c>
      <c r="L87" s="315"/>
      <c r="M87" s="315"/>
      <c r="N87" s="315"/>
    </row>
    <row r="88" spans="1:14" x14ac:dyDescent="0.55000000000000004">
      <c r="A88" s="354" t="s">
        <v>779</v>
      </c>
      <c r="B88" s="380">
        <f>'Fly-Buck_Calc'!B57</f>
        <v>0</v>
      </c>
      <c r="C88" s="362" t="s">
        <v>5</v>
      </c>
      <c r="L88" s="315"/>
      <c r="M88" s="315"/>
      <c r="N88" s="315"/>
    </row>
    <row r="89" spans="1:14" x14ac:dyDescent="0.55000000000000004">
      <c r="A89" s="354" t="s">
        <v>780</v>
      </c>
      <c r="B89" s="380">
        <f>'Fly-Buck_Calc'!B58</f>
        <v>0</v>
      </c>
      <c r="C89" s="362" t="s">
        <v>5</v>
      </c>
      <c r="L89" s="315"/>
      <c r="M89" s="315"/>
      <c r="N89" s="315"/>
    </row>
    <row r="90" spans="1:14" x14ac:dyDescent="0.55000000000000004">
      <c r="A90" s="354" t="s">
        <v>781</v>
      </c>
      <c r="B90" s="380">
        <f>'Fly-Buck_Calc'!B59</f>
        <v>0</v>
      </c>
      <c r="C90" s="362" t="s">
        <v>5</v>
      </c>
      <c r="L90" s="315"/>
      <c r="M90" s="315"/>
      <c r="N90" s="315"/>
    </row>
    <row r="91" spans="1:14" ht="14.7" thickBot="1" x14ac:dyDescent="0.6">
      <c r="A91" s="356" t="s">
        <v>782</v>
      </c>
      <c r="B91" s="382">
        <f>'Fly-Buck_Calc'!B60</f>
        <v>0</v>
      </c>
      <c r="C91" s="363" t="s">
        <v>5</v>
      </c>
      <c r="L91" s="315"/>
      <c r="M91" s="315"/>
      <c r="N91" s="315"/>
    </row>
    <row r="92" spans="1:14" x14ac:dyDescent="0.55000000000000004">
      <c r="A92" s="315"/>
      <c r="B92" s="315"/>
      <c r="C92" s="315"/>
      <c r="L92" s="315"/>
      <c r="M92" s="315"/>
      <c r="N92" s="315"/>
    </row>
    <row r="93" spans="1:14" x14ac:dyDescent="0.55000000000000004">
      <c r="A93" s="315"/>
      <c r="B93" s="315"/>
      <c r="C93" s="315"/>
      <c r="L93" s="315"/>
      <c r="M93" s="315"/>
      <c r="N93" s="315"/>
    </row>
    <row r="94" spans="1:14" ht="14.7" thickBot="1" x14ac:dyDescent="0.6"/>
    <row r="95" spans="1:14" ht="18.600000000000001" thickBot="1" x14ac:dyDescent="0.75">
      <c r="A95" s="497" t="s">
        <v>922</v>
      </c>
      <c r="B95" s="498"/>
      <c r="C95" s="499"/>
    </row>
    <row r="96" spans="1:14" x14ac:dyDescent="0.55000000000000004">
      <c r="A96" s="366" t="s">
        <v>783</v>
      </c>
      <c r="B96" s="359">
        <f>'Fly-Buck_Calc'!B40*(10^6)</f>
        <v>125</v>
      </c>
      <c r="C96" s="361" t="s">
        <v>951</v>
      </c>
    </row>
    <row r="97" spans="1:15" x14ac:dyDescent="0.55000000000000004">
      <c r="A97" s="367" t="s">
        <v>784</v>
      </c>
      <c r="B97" s="286">
        <v>100</v>
      </c>
      <c r="C97" s="362" t="s">
        <v>951</v>
      </c>
    </row>
    <row r="98" spans="1:15" ht="14.7" thickBot="1" x14ac:dyDescent="0.6">
      <c r="A98" s="368" t="s">
        <v>785</v>
      </c>
      <c r="B98" s="371">
        <v>10</v>
      </c>
      <c r="C98" s="363" t="s">
        <v>422</v>
      </c>
      <c r="K98" s="315"/>
      <c r="L98" s="315"/>
      <c r="M98" s="315"/>
      <c r="N98" s="315"/>
      <c r="O98" s="315"/>
    </row>
    <row r="99" spans="1:15" x14ac:dyDescent="0.55000000000000004">
      <c r="A99" s="411" t="s">
        <v>298</v>
      </c>
      <c r="B99" s="359">
        <f>'Fly-Buck_Calc'!B42*(10^6)</f>
        <v>83.333333333333329</v>
      </c>
      <c r="C99" s="361" t="s">
        <v>951</v>
      </c>
      <c r="K99" s="315"/>
      <c r="L99" s="514"/>
      <c r="M99" s="514"/>
      <c r="N99" s="514"/>
      <c r="O99" s="514"/>
    </row>
    <row r="100" spans="1:15" x14ac:dyDescent="0.55000000000000004">
      <c r="A100" s="411" t="s">
        <v>299</v>
      </c>
      <c r="B100" s="286">
        <v>20</v>
      </c>
      <c r="C100" s="362" t="s">
        <v>951</v>
      </c>
      <c r="K100" s="315"/>
      <c r="L100" s="315"/>
      <c r="M100" s="315"/>
      <c r="N100" s="315"/>
      <c r="O100" s="315"/>
    </row>
    <row r="101" spans="1:15" ht="14.7" thickBot="1" x14ac:dyDescent="0.6">
      <c r="A101" s="411" t="s">
        <v>690</v>
      </c>
      <c r="B101" s="372">
        <v>10</v>
      </c>
      <c r="C101" s="363" t="s">
        <v>422</v>
      </c>
      <c r="K101" s="315"/>
      <c r="L101" s="369"/>
      <c r="M101" s="315"/>
      <c r="N101" s="315"/>
      <c r="O101" s="315"/>
    </row>
    <row r="102" spans="1:15" x14ac:dyDescent="0.55000000000000004">
      <c r="A102" s="366" t="s">
        <v>300</v>
      </c>
      <c r="B102" s="359">
        <f>'Fly-Buck_Calc'!B44*(10^6)</f>
        <v>0</v>
      </c>
      <c r="C102" s="361" t="s">
        <v>951</v>
      </c>
      <c r="K102" s="315"/>
      <c r="L102" s="315"/>
      <c r="M102" s="315"/>
      <c r="N102" s="315"/>
      <c r="O102" s="315"/>
    </row>
    <row r="103" spans="1:15" x14ac:dyDescent="0.55000000000000004">
      <c r="A103" s="367" t="s">
        <v>301</v>
      </c>
      <c r="B103" s="324">
        <v>20</v>
      </c>
      <c r="C103" s="362" t="s">
        <v>951</v>
      </c>
      <c r="K103" s="315"/>
      <c r="L103" s="315"/>
      <c r="M103" s="315"/>
      <c r="N103" s="315"/>
      <c r="O103" s="315"/>
    </row>
    <row r="104" spans="1:15" ht="14.7" thickBot="1" x14ac:dyDescent="0.6">
      <c r="A104" s="368" t="s">
        <v>691</v>
      </c>
      <c r="B104" s="370">
        <v>10</v>
      </c>
      <c r="C104" s="363" t="s">
        <v>422</v>
      </c>
      <c r="K104" s="315"/>
      <c r="L104" s="315"/>
      <c r="M104" s="315"/>
      <c r="N104" s="315"/>
      <c r="O104" s="315"/>
    </row>
    <row r="105" spans="1:15" x14ac:dyDescent="0.55000000000000004">
      <c r="A105" s="366" t="s">
        <v>302</v>
      </c>
      <c r="B105" s="359">
        <f>'Fly-Buck_Calc'!B46*(10^6)</f>
        <v>0</v>
      </c>
      <c r="C105" s="361" t="s">
        <v>951</v>
      </c>
      <c r="K105" s="315"/>
      <c r="L105" s="315"/>
      <c r="M105" s="315"/>
      <c r="N105" s="315"/>
      <c r="O105" s="315"/>
    </row>
    <row r="106" spans="1:15" x14ac:dyDescent="0.55000000000000004">
      <c r="A106" s="367" t="s">
        <v>303</v>
      </c>
      <c r="B106" s="286">
        <v>0</v>
      </c>
      <c r="C106" s="362" t="s">
        <v>951</v>
      </c>
      <c r="K106" s="315"/>
      <c r="L106" s="315"/>
      <c r="M106" s="315"/>
      <c r="N106" s="315"/>
      <c r="O106" s="315"/>
    </row>
    <row r="107" spans="1:15" ht="14.7" thickBot="1" x14ac:dyDescent="0.6">
      <c r="A107" s="368" t="s">
        <v>692</v>
      </c>
      <c r="B107" s="372">
        <v>0</v>
      </c>
      <c r="C107" s="363" t="s">
        <v>422</v>
      </c>
      <c r="K107" s="315"/>
      <c r="L107" s="315"/>
      <c r="M107" s="315"/>
      <c r="N107" s="315"/>
      <c r="O107" s="315"/>
    </row>
    <row r="108" spans="1:15" x14ac:dyDescent="0.55000000000000004">
      <c r="A108" s="366" t="s">
        <v>304</v>
      </c>
      <c r="B108" s="359">
        <f>'Fly-Buck_Calc'!B48*(10^6)</f>
        <v>0</v>
      </c>
      <c r="C108" s="361" t="s">
        <v>951</v>
      </c>
      <c r="K108" s="315"/>
      <c r="L108" s="315"/>
      <c r="M108" s="315"/>
      <c r="N108" s="315"/>
      <c r="O108" s="315"/>
    </row>
    <row r="109" spans="1:15" x14ac:dyDescent="0.55000000000000004">
      <c r="A109" s="367" t="s">
        <v>305</v>
      </c>
      <c r="B109" s="286">
        <v>0</v>
      </c>
      <c r="C109" s="362" t="s">
        <v>951</v>
      </c>
      <c r="K109" s="315"/>
      <c r="L109" s="315"/>
      <c r="M109" s="315"/>
      <c r="N109" s="315"/>
      <c r="O109" s="315"/>
    </row>
    <row r="110" spans="1:15" ht="14.7" thickBot="1" x14ac:dyDescent="0.6">
      <c r="A110" s="368" t="s">
        <v>693</v>
      </c>
      <c r="B110" s="372">
        <v>0</v>
      </c>
      <c r="C110" s="363" t="s">
        <v>422</v>
      </c>
    </row>
    <row r="111" spans="1:15" x14ac:dyDescent="0.55000000000000004">
      <c r="A111" s="366" t="s">
        <v>306</v>
      </c>
      <c r="B111" s="359">
        <f>'Fly-Buck_Calc'!B50*(10^6)</f>
        <v>0</v>
      </c>
      <c r="C111" s="361" t="s">
        <v>951</v>
      </c>
    </row>
    <row r="112" spans="1:15" x14ac:dyDescent="0.55000000000000004">
      <c r="A112" s="367" t="s">
        <v>307</v>
      </c>
      <c r="B112" s="286">
        <v>0</v>
      </c>
      <c r="C112" s="362" t="s">
        <v>951</v>
      </c>
    </row>
    <row r="113" spans="1:3" ht="14.7" thickBot="1" x14ac:dyDescent="0.6">
      <c r="A113" s="368" t="s">
        <v>694</v>
      </c>
      <c r="B113" s="372">
        <v>0</v>
      </c>
      <c r="C113" s="363" t="s">
        <v>422</v>
      </c>
    </row>
    <row r="114" spans="1:3" x14ac:dyDescent="0.55000000000000004">
      <c r="A114" s="366" t="s">
        <v>308</v>
      </c>
      <c r="B114" s="359">
        <f>'Fly-Buck_Calc'!B52*(10^6)</f>
        <v>0</v>
      </c>
      <c r="C114" s="361" t="s">
        <v>951</v>
      </c>
    </row>
    <row r="115" spans="1:3" x14ac:dyDescent="0.55000000000000004">
      <c r="A115" s="367" t="s">
        <v>309</v>
      </c>
      <c r="B115" s="286">
        <v>0</v>
      </c>
      <c r="C115" s="362" t="s">
        <v>951</v>
      </c>
    </row>
    <row r="116" spans="1:3" ht="14.7" thickBot="1" x14ac:dyDescent="0.6">
      <c r="A116" s="368" t="s">
        <v>695</v>
      </c>
      <c r="B116" s="372">
        <v>0</v>
      </c>
      <c r="C116" s="363" t="s">
        <v>422</v>
      </c>
    </row>
    <row r="120" spans="1:3" ht="14.7" thickBot="1" x14ac:dyDescent="0.6"/>
    <row r="121" spans="1:3" ht="18.600000000000001" thickBot="1" x14ac:dyDescent="0.75">
      <c r="A121" s="497" t="s">
        <v>819</v>
      </c>
      <c r="B121" s="498"/>
      <c r="C121" s="499"/>
    </row>
    <row r="122" spans="1:3" ht="14.7" thickBot="1" x14ac:dyDescent="0.6">
      <c r="A122" s="508" t="s">
        <v>786</v>
      </c>
      <c r="B122" s="511"/>
      <c r="C122" s="512"/>
    </row>
    <row r="123" spans="1:3" x14ac:dyDescent="0.55000000000000004">
      <c r="A123" s="351" t="s">
        <v>727</v>
      </c>
      <c r="B123" s="384">
        <f>'Fly-Buck_Calc'!B68</f>
        <v>2</v>
      </c>
      <c r="C123" s="361" t="s">
        <v>5</v>
      </c>
    </row>
    <row r="124" spans="1:3" x14ac:dyDescent="0.55000000000000004">
      <c r="A124" s="354" t="s">
        <v>787</v>
      </c>
      <c r="B124" s="400">
        <v>6.04</v>
      </c>
      <c r="C124" s="362" t="s">
        <v>474</v>
      </c>
    </row>
    <row r="125" spans="1:3" x14ac:dyDescent="0.55000000000000004">
      <c r="A125" s="354" t="s">
        <v>789</v>
      </c>
      <c r="B125" s="395">
        <f>(-B124*1000*B123)/(B123-ABS(VoutPri_FB))/1000</f>
        <v>0.9292307692307693</v>
      </c>
      <c r="C125" s="362" t="s">
        <v>474</v>
      </c>
    </row>
    <row r="126" spans="1:3" ht="14.7" thickBot="1" x14ac:dyDescent="0.6">
      <c r="A126" s="356" t="s">
        <v>790</v>
      </c>
      <c r="B126" s="401">
        <v>4</v>
      </c>
      <c r="C126" s="363" t="s">
        <v>474</v>
      </c>
    </row>
    <row r="127" spans="1:3" ht="14.7" thickBot="1" x14ac:dyDescent="0.6">
      <c r="A127" s="508" t="s">
        <v>921</v>
      </c>
      <c r="B127" s="509"/>
      <c r="C127" s="510"/>
    </row>
    <row r="128" spans="1:3" x14ac:dyDescent="0.55000000000000004">
      <c r="A128" s="351" t="s">
        <v>791</v>
      </c>
      <c r="B128" s="402">
        <v>100</v>
      </c>
      <c r="C128" s="361" t="s">
        <v>445</v>
      </c>
    </row>
    <row r="129" spans="1:3" x14ac:dyDescent="0.55000000000000004">
      <c r="A129" s="354" t="s">
        <v>792</v>
      </c>
      <c r="B129" s="395">
        <f>(15*(B124*1000+B125*1000))/(2*PI()*B124*1000*B125*1000*Fsw)*(10^9)</f>
        <v>9.8813085528908537</v>
      </c>
      <c r="C129" s="362" t="s">
        <v>445</v>
      </c>
    </row>
    <row r="130" spans="1:3" x14ac:dyDescent="0.55000000000000004">
      <c r="A130" s="354" t="s">
        <v>793</v>
      </c>
      <c r="B130" s="403">
        <v>4</v>
      </c>
      <c r="C130" s="362" t="s">
        <v>445</v>
      </c>
    </row>
    <row r="131" spans="1:3" x14ac:dyDescent="0.55000000000000004">
      <c r="A131" s="354" t="s">
        <v>794</v>
      </c>
      <c r="B131" s="395">
        <f>(VinMin-VoutPri_FB)*'Fly-Buck_Calc'!B10/(50*(10^-3))*(1/(B130*10^-9))/1000</f>
        <v>-374.99999999999994</v>
      </c>
      <c r="C131" s="362" t="s">
        <v>474</v>
      </c>
    </row>
    <row r="132" spans="1:3" x14ac:dyDescent="0.55000000000000004">
      <c r="A132" s="354" t="s">
        <v>795</v>
      </c>
      <c r="B132" s="403">
        <v>40</v>
      </c>
      <c r="C132" s="362" t="s">
        <v>730</v>
      </c>
    </row>
    <row r="133" spans="1:3" ht="14.7" thickBot="1" x14ac:dyDescent="0.6">
      <c r="A133" s="356" t="s">
        <v>796</v>
      </c>
      <c r="B133" s="399">
        <f>(VinMin-VoutPri_FB)*'Fly-Buck_Calc'!B10*(1/((B130*10^-9)*(B132*1000)))*1000</f>
        <v>-468.75</v>
      </c>
      <c r="C133" s="363" t="s">
        <v>280</v>
      </c>
    </row>
  </sheetData>
  <sheetProtection password="E1A4" sheet="1" objects="1" scenarios="1"/>
  <mergeCells count="18">
    <mergeCell ref="A127:C127"/>
    <mergeCell ref="A121:C121"/>
    <mergeCell ref="A122:C122"/>
    <mergeCell ref="K5:Z5"/>
    <mergeCell ref="A95:C95"/>
    <mergeCell ref="L99:O99"/>
    <mergeCell ref="A1:XFD2"/>
    <mergeCell ref="A22:C22"/>
    <mergeCell ref="A85:C85"/>
    <mergeCell ref="F4:H4"/>
    <mergeCell ref="A32:C32"/>
    <mergeCell ref="B33:C33"/>
    <mergeCell ref="B34:C34"/>
    <mergeCell ref="B35:C35"/>
    <mergeCell ref="B36:C36"/>
    <mergeCell ref="B37:C37"/>
    <mergeCell ref="G14:H14"/>
    <mergeCell ref="A14:B14"/>
  </mergeCells>
  <conditionalFormatting sqref="B33:B36">
    <cfRule type="cellIs" dxfId="21" priority="1" operator="equal">
      <formula>1</formula>
    </cfRule>
    <cfRule type="cellIs" dxfId="20" priority="2" operator="equal">
      <formula>0</formula>
    </cfRule>
  </conditionalFormatting>
  <dataValidations count="1">
    <dataValidation type="list" showInputMessage="1" showErrorMessage="1" sqref="B37">
      <formula1>Fly_Buck_Parts</formula1>
    </dataValidation>
  </dataValidations>
  <hyperlinks>
    <hyperlink ref="N7"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29706" r:id="rId5">
          <objectPr defaultSize="0" autoPict="0" r:id="rId6">
            <anchor moveWithCells="1">
              <from>
                <xdr:col>0</xdr:col>
                <xdr:colOff>0</xdr:colOff>
                <xdr:row>3</xdr:row>
                <xdr:rowOff>0</xdr:rowOff>
              </from>
              <to>
                <xdr:col>3</xdr:col>
                <xdr:colOff>590550</xdr:colOff>
                <xdr:row>11</xdr:row>
                <xdr:rowOff>171450</xdr:rowOff>
              </to>
            </anchor>
          </objectPr>
        </oleObject>
      </mc:Choice>
      <mc:Fallback>
        <oleObject progId="Visio.Drawing.11" shapeId="29706" r:id="rId5"/>
      </mc:Fallback>
    </mc:AlternateContent>
    <mc:AlternateContent xmlns:mc="http://schemas.openxmlformats.org/markup-compatibility/2006">
      <mc:Choice Requires="x14">
        <oleObject progId="Visio.Drawing.11" shapeId="29708" r:id="rId7">
          <objectPr defaultSize="0" autoPict="0" r:id="rId8">
            <anchor moveWithCells="1">
              <from>
                <xdr:col>3</xdr:col>
                <xdr:colOff>220980</xdr:colOff>
                <xdr:row>122</xdr:row>
                <xdr:rowOff>0</xdr:rowOff>
              </from>
              <to>
                <xdr:col>9</xdr:col>
                <xdr:colOff>171450</xdr:colOff>
                <xdr:row>134</xdr:row>
                <xdr:rowOff>0</xdr:rowOff>
              </to>
            </anchor>
          </objectPr>
        </oleObject>
      </mc:Choice>
      <mc:Fallback>
        <oleObject progId="Visio.Drawing.11" shapeId="29708"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V120"/>
  <sheetViews>
    <sheetView zoomScaleNormal="100" workbookViewId="0">
      <selection activeCell="E22" sqref="E21:E22"/>
    </sheetView>
  </sheetViews>
  <sheetFormatPr defaultRowHeight="14.4" x14ac:dyDescent="0.55000000000000004"/>
  <cols>
    <col min="1" max="1" width="30.41796875" customWidth="1"/>
    <col min="2" max="2" width="12" bestFit="1" customWidth="1"/>
    <col min="3" max="3" width="2.578125" customWidth="1"/>
    <col min="7" max="7" width="13" customWidth="1"/>
    <col min="20" max="20" width="12" bestFit="1" customWidth="1"/>
    <col min="21" max="21" width="12" customWidth="1"/>
    <col min="22" max="22" width="12" bestFit="1" customWidth="1"/>
    <col min="23" max="25" width="12" customWidth="1"/>
    <col min="26" max="26" width="12" bestFit="1" customWidth="1"/>
    <col min="27" max="28" width="12" customWidth="1"/>
    <col min="60" max="60" width="9.15625" customWidth="1"/>
    <col min="83" max="83" width="12.578125" customWidth="1"/>
    <col min="84" max="84" width="11.41796875" customWidth="1"/>
    <col min="85" max="85" width="12.26171875" customWidth="1"/>
    <col min="86" max="86" width="11.578125" customWidth="1"/>
    <col min="87" max="87" width="10.15625" customWidth="1"/>
    <col min="88" max="89" width="9.15625" customWidth="1"/>
    <col min="99" max="99" width="10.68359375" customWidth="1"/>
  </cols>
  <sheetData>
    <row r="2" spans="1:100" ht="15.75" thickBot="1" x14ac:dyDescent="0.3">
      <c r="U2">
        <v>1</v>
      </c>
      <c r="V2">
        <v>2</v>
      </c>
      <c r="W2">
        <v>3</v>
      </c>
      <c r="X2">
        <v>4</v>
      </c>
      <c r="Y2">
        <v>5</v>
      </c>
      <c r="Z2">
        <v>6</v>
      </c>
      <c r="AA2">
        <v>7</v>
      </c>
      <c r="AB2">
        <v>8</v>
      </c>
      <c r="AC2">
        <v>9</v>
      </c>
      <c r="AD2">
        <v>10</v>
      </c>
      <c r="AE2">
        <v>11</v>
      </c>
      <c r="AF2">
        <v>12</v>
      </c>
      <c r="AG2">
        <v>13</v>
      </c>
      <c r="AH2">
        <v>14</v>
      </c>
      <c r="AI2">
        <v>15</v>
      </c>
      <c r="AJ2">
        <v>16</v>
      </c>
      <c r="AK2">
        <v>17</v>
      </c>
      <c r="AL2">
        <v>18</v>
      </c>
      <c r="AM2">
        <v>19</v>
      </c>
      <c r="AN2">
        <v>20</v>
      </c>
      <c r="AO2">
        <v>21</v>
      </c>
      <c r="AP2">
        <v>22</v>
      </c>
      <c r="AQ2">
        <v>23</v>
      </c>
      <c r="AR2">
        <v>24</v>
      </c>
      <c r="AS2">
        <v>25</v>
      </c>
      <c r="AT2">
        <v>26</v>
      </c>
      <c r="AU2">
        <v>27</v>
      </c>
      <c r="AW2" s="138"/>
      <c r="AX2" s="138"/>
      <c r="AY2" s="138"/>
      <c r="AZ2" s="138"/>
      <c r="BS2" s="525" t="s">
        <v>587</v>
      </c>
      <c r="BT2" s="525"/>
      <c r="BU2" s="525"/>
      <c r="BV2" s="525"/>
      <c r="BW2" s="525"/>
      <c r="BX2" s="521" t="s">
        <v>588</v>
      </c>
      <c r="BY2" s="521"/>
      <c r="BZ2" s="521"/>
      <c r="CA2" s="521"/>
      <c r="CB2" s="521"/>
      <c r="CC2" s="521"/>
      <c r="CD2" s="521"/>
      <c r="CE2" s="521"/>
      <c r="CF2" s="520" t="s">
        <v>590</v>
      </c>
      <c r="CG2" s="520"/>
      <c r="CH2" s="520"/>
      <c r="CI2" s="520"/>
      <c r="CJ2" s="520"/>
      <c r="CK2" s="520"/>
      <c r="CL2" s="522" t="s">
        <v>591</v>
      </c>
      <c r="CM2" s="522"/>
      <c r="CN2" s="522"/>
      <c r="CO2" s="522"/>
      <c r="CP2" s="522"/>
      <c r="CQ2" s="522"/>
      <c r="CR2" s="522"/>
      <c r="CS2" s="523" t="s">
        <v>593</v>
      </c>
      <c r="CT2" s="523"/>
      <c r="CU2" s="523"/>
      <c r="CV2" t="s">
        <v>442</v>
      </c>
    </row>
    <row r="3" spans="1:100" s="14" customFormat="1" ht="75.75" thickBot="1" x14ac:dyDescent="0.3">
      <c r="K3" s="14" t="s">
        <v>19</v>
      </c>
      <c r="L3" s="66" t="s">
        <v>10</v>
      </c>
      <c r="M3" s="68" t="s">
        <v>225</v>
      </c>
      <c r="N3" s="66" t="s">
        <v>37</v>
      </c>
      <c r="O3" s="67" t="s">
        <v>38</v>
      </c>
      <c r="P3" s="68" t="s">
        <v>39</v>
      </c>
      <c r="Q3" s="129" t="s">
        <v>59</v>
      </c>
      <c r="R3" s="66" t="s">
        <v>47</v>
      </c>
      <c r="S3" s="67" t="s">
        <v>76</v>
      </c>
      <c r="T3" s="67" t="s">
        <v>77</v>
      </c>
      <c r="U3" s="67" t="s">
        <v>318</v>
      </c>
      <c r="V3" s="68" t="s">
        <v>138</v>
      </c>
      <c r="W3" s="67" t="s">
        <v>384</v>
      </c>
      <c r="X3" s="66" t="s">
        <v>321</v>
      </c>
      <c r="Y3" s="67" t="s">
        <v>322</v>
      </c>
      <c r="Z3" s="67" t="s">
        <v>113</v>
      </c>
      <c r="AA3" s="68" t="s">
        <v>332</v>
      </c>
      <c r="AB3" s="66" t="s">
        <v>319</v>
      </c>
      <c r="AC3" s="67" t="s">
        <v>320</v>
      </c>
      <c r="AD3" s="67" t="s">
        <v>114</v>
      </c>
      <c r="AE3" s="68" t="s">
        <v>334</v>
      </c>
      <c r="AF3" s="66" t="s">
        <v>323</v>
      </c>
      <c r="AG3" s="67" t="s">
        <v>324</v>
      </c>
      <c r="AH3" s="67" t="s">
        <v>115</v>
      </c>
      <c r="AI3" s="68" t="s">
        <v>335</v>
      </c>
      <c r="AJ3" s="66" t="s">
        <v>325</v>
      </c>
      <c r="AK3" s="67" t="s">
        <v>326</v>
      </c>
      <c r="AL3" s="67" t="s">
        <v>116</v>
      </c>
      <c r="AM3" s="68" t="s">
        <v>336</v>
      </c>
      <c r="AN3" s="66" t="s">
        <v>328</v>
      </c>
      <c r="AO3" s="67" t="s">
        <v>327</v>
      </c>
      <c r="AP3" s="67" t="s">
        <v>118</v>
      </c>
      <c r="AQ3" s="68" t="s">
        <v>337</v>
      </c>
      <c r="AR3" s="66" t="s">
        <v>329</v>
      </c>
      <c r="AS3" s="67" t="s">
        <v>330</v>
      </c>
      <c r="AT3" s="67" t="s">
        <v>117</v>
      </c>
      <c r="AU3" s="68" t="s">
        <v>333</v>
      </c>
      <c r="AV3" s="81" t="s">
        <v>194</v>
      </c>
      <c r="AW3" s="81" t="s">
        <v>213</v>
      </c>
      <c r="AX3" s="160" t="s">
        <v>208</v>
      </c>
      <c r="AY3" s="161"/>
      <c r="AZ3" s="162" t="s">
        <v>209</v>
      </c>
      <c r="BA3" s="160" t="s">
        <v>213</v>
      </c>
      <c r="BB3" s="82" t="s">
        <v>217</v>
      </c>
      <c r="BC3" s="81" t="s">
        <v>213</v>
      </c>
      <c r="BD3" s="82" t="s">
        <v>218</v>
      </c>
      <c r="BE3" s="56" t="s">
        <v>382</v>
      </c>
      <c r="BF3" s="90" t="s">
        <v>383</v>
      </c>
      <c r="BG3" s="56" t="s">
        <v>354</v>
      </c>
      <c r="BH3" s="90" t="s">
        <v>355</v>
      </c>
      <c r="BI3" s="56" t="s">
        <v>356</v>
      </c>
      <c r="BJ3" s="90" t="s">
        <v>357</v>
      </c>
      <c r="BK3" s="56" t="s">
        <v>358</v>
      </c>
      <c r="BL3" s="90" t="s">
        <v>359</v>
      </c>
      <c r="BM3" s="56" t="s">
        <v>360</v>
      </c>
      <c r="BN3" s="90" t="s">
        <v>361</v>
      </c>
      <c r="BO3" s="56" t="s">
        <v>362</v>
      </c>
      <c r="BP3" s="90" t="s">
        <v>363</v>
      </c>
      <c r="BQ3" s="57" t="s">
        <v>364</v>
      </c>
      <c r="BR3" s="90" t="s">
        <v>365</v>
      </c>
      <c r="BS3" s="50" t="s">
        <v>454</v>
      </c>
      <c r="BT3" s="73" t="s">
        <v>455</v>
      </c>
      <c r="BU3" s="73" t="s">
        <v>456</v>
      </c>
      <c r="BV3" s="73" t="s">
        <v>457</v>
      </c>
      <c r="BW3" s="51" t="s">
        <v>458</v>
      </c>
      <c r="BX3" s="81" t="s">
        <v>567</v>
      </c>
      <c r="BY3" s="160" t="s">
        <v>568</v>
      </c>
      <c r="BZ3" s="160" t="s">
        <v>569</v>
      </c>
      <c r="CA3" s="160" t="s">
        <v>570</v>
      </c>
      <c r="CB3" s="160" t="s">
        <v>571</v>
      </c>
      <c r="CC3" s="160" t="s">
        <v>572</v>
      </c>
      <c r="CD3" s="160" t="s">
        <v>573</v>
      </c>
      <c r="CE3" s="230" t="s">
        <v>589</v>
      </c>
      <c r="CF3" s="81" t="s">
        <v>549</v>
      </c>
      <c r="CG3" s="67" t="s">
        <v>550</v>
      </c>
      <c r="CH3" s="229" t="s">
        <v>907</v>
      </c>
      <c r="CI3" s="229" t="s">
        <v>908</v>
      </c>
      <c r="CJ3" s="68" t="s">
        <v>581</v>
      </c>
      <c r="CK3" s="68"/>
      <c r="CL3" s="66" t="s">
        <v>559</v>
      </c>
      <c r="CM3" s="67" t="s">
        <v>560</v>
      </c>
      <c r="CN3" s="67" t="s">
        <v>561</v>
      </c>
      <c r="CO3" s="67" t="s">
        <v>562</v>
      </c>
      <c r="CP3" s="67" t="s">
        <v>563</v>
      </c>
      <c r="CQ3" s="68" t="s">
        <v>564</v>
      </c>
      <c r="CR3" s="129" t="s">
        <v>592</v>
      </c>
      <c r="CS3" s="213" t="s">
        <v>596</v>
      </c>
      <c r="CT3" s="213" t="s">
        <v>595</v>
      </c>
      <c r="CU3" s="213" t="s">
        <v>9</v>
      </c>
      <c r="CV3" s="14" t="s">
        <v>446</v>
      </c>
    </row>
    <row r="4" spans="1:100" ht="15" x14ac:dyDescent="0.25">
      <c r="A4" s="524" t="s">
        <v>289</v>
      </c>
      <c r="B4" s="524"/>
      <c r="C4" s="12"/>
      <c r="K4">
        <v>0</v>
      </c>
      <c r="L4" s="91">
        <f t="shared" ref="L4:L35" si="0">VinMin+(K4*DC_Step)</f>
        <v>6</v>
      </c>
      <c r="M4" s="93">
        <f t="shared" ref="M4:M35" si="1">Pout_FB/(L4*eff)</f>
        <v>1.25</v>
      </c>
      <c r="N4" s="122">
        <f>IF(VoutPri_FB&gt;0,(VoutPri_FB/(0.9*RR*ILavg_FlyB*Fsw))*(1-(VoutPri_FB/L4)),0)</f>
        <v>-2.7777777777777778E-4</v>
      </c>
      <c r="O4" s="97">
        <f>IF(VoutPri_FB&gt;0,(VoutPri_FB/(RR*ILavg_FlyB*Fsw))*(1-(VoutPri_FB/L4)),0)</f>
        <v>-2.4999999999999995E-4</v>
      </c>
      <c r="P4" s="123">
        <f>IF(VoutPri_FB&gt;0,(VoutPri_FB/(1.1*RR*ILavg_FlyB*Fsw))*(1-(VoutPri_FB/L4)),0)</f>
        <v>-2.2727272727272722E-4</v>
      </c>
      <c r="Q4" s="127">
        <f>IF(VoutPri_FB&gt;0,VoutPri_FB/L4,0)</f>
        <v>2.5</v>
      </c>
      <c r="R4" s="91">
        <f>M4/Q4</f>
        <v>0.5</v>
      </c>
      <c r="S4" s="92">
        <f t="shared" ref="S4:S35" si="2">((L4-VoutPri_FB)*Q4)/(Lm_FlyB*Fsw)</f>
        <v>-1.25</v>
      </c>
      <c r="T4" s="92">
        <f>R4+(0.5*S4)</f>
        <v>-0.125</v>
      </c>
      <c r="U4" s="92" t="e">
        <f t="shared" ref="U4:U35" si="3">SUM(V4,(Ns1_FlyB/Np)*Z4,(Ns2_FlyB/Np)*AD4,(Ns3_FlyB/Np)*AH4,(Ns4_FlyB/Np)*AL4,(Ns5_FlyB/Np)*AP4,(Ns6_FlyB/Np)*AT4)</f>
        <v>#NUM!</v>
      </c>
      <c r="V4" s="93">
        <f>R4*SQRT(Q4)*SQRT(1+((1/3)*(S4/(2*R4))^2))</f>
        <v>0.97494657973313248</v>
      </c>
      <c r="W4" s="92" t="e">
        <f>SQRT((V4^2)-(M4^2))</f>
        <v>#NUM!</v>
      </c>
      <c r="X4" s="117">
        <f t="shared" ref="X4:X35" si="4">IF(AND(Vout1&lt;&gt;0,Iout1&lt;&gt;0,Ns1_FlyB&lt;&gt;0),(Iout1/(1-Q4)),0)</f>
        <v>-0.33333333333333331</v>
      </c>
      <c r="Y4" s="103">
        <f t="shared" ref="Y4:Y35" si="5">IF(AND(Vout1&lt;&gt;0,Iout1&lt;&gt;0,Ns1_FlyB&lt;&gt;0),(ABS(Vout1)*(1-Q4))/(((n1_FlyB/Np)^2)*Lm_FlyB*Fsw),0)</f>
        <v>-0.55555555555555569</v>
      </c>
      <c r="Z4" s="103" t="e">
        <f t="shared" ref="Z4:Z35" si="6">IF(AND(Vout1&lt;&gt;0,Iout1&lt;&gt;0,Ns1_FlyB&lt;&gt;0),X4*SQRT(1-Q4)*SQRT(1+((1/3)*((Y4/(2*X4))^2))),0)</f>
        <v>#NUM!</v>
      </c>
      <c r="AA4" s="118" t="e">
        <f t="shared" ref="AA4:AA35" si="7">IF(AND(Vout1&lt;&gt;0,Iout1&lt;&gt;0,Ns1_FlyB&lt;&gt;0),SQRT((Z4^2)-(Iout1^2)),0)</f>
        <v>#NUM!</v>
      </c>
      <c r="AB4" s="117">
        <f t="shared" ref="AB4:AB35" si="8">IF(AND(Vout2&lt;&gt;0,Iout2&lt;&gt;0,Ns2_FlyB&lt;&gt;0),(Iout2/(1-Q4)),0)</f>
        <v>0</v>
      </c>
      <c r="AC4" s="103">
        <f t="shared" ref="AC4:AC35" si="9">IF(AND(Vout2&lt;&gt;0,Iout2&lt;&gt;0,Ns2_FlyB&lt;&gt;0),(ABS(Vout2)*(1-Q4))/(((n2_FlyB/Np)^2)*Lm_FlyB*Fsw),0)</f>
        <v>0</v>
      </c>
      <c r="AD4" s="103">
        <f t="shared" ref="AD4:AD35" si="10">IF(AND(Vout2&lt;&gt;0,Iout2&lt;&gt;0,Ns2_FlyB&lt;&gt;0),AB4*SQRT(1-Q4)*SQRT(1+((1/3)*((AC4/(2*AB4))^2))),0)</f>
        <v>0</v>
      </c>
      <c r="AE4" s="118">
        <f t="shared" ref="AE4:AE35" si="11">IF(AND(Vout2&lt;&gt;0,Iout2&lt;&gt;0,Ns2_FlyB&lt;&gt;0),SQRT((AD4^2)-(Iout2^2)),0)</f>
        <v>0</v>
      </c>
      <c r="AF4" s="117">
        <f t="shared" ref="AF4:AF35" si="12">IF(AND(Vout3&lt;&gt;0,Iout3&lt;&gt;0,Ns3_FlyB&lt;&gt;0),(Iout3/(1-Q4)),0)</f>
        <v>0</v>
      </c>
      <c r="AG4" s="103">
        <f t="shared" ref="AG4:AG35" si="13">IF(AND(Vout3&lt;&gt;0,Iout3&lt;&gt;0,Ns3_FlyB&lt;&gt;0),(ABS(Vout3)*(1-Q4))/(((n3_FlyB/Np)^2)*Lm_FlyB*Fsw),0)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IF(AND(Vout4&lt;&gt;0,Iout4&lt;&gt;0,Ns4_FlyB&lt;&gt;0),(Iout4/(1-Q4)),0)</f>
        <v>0</v>
      </c>
      <c r="AK4" s="103">
        <f t="shared" ref="AK4:AK35" si="17">IF(AND(Vout4&lt;&gt;0,Iout4&lt;&gt;0,Ns4_FlyB&lt;&gt;0),(ABS(Vout4)*(1-Q4))/(((n4_FlyB/Np)^2)*Lm_FlyB*Fsw),0)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IF(AND(Vout5&lt;&gt;0,Iout5&lt;&gt;0,Ns5_FlyB&lt;&gt;0),(Iout5/(1-Q4)),0)</f>
        <v>0</v>
      </c>
      <c r="AO4" s="103">
        <f t="shared" ref="AO4:AO35" si="21">IF(AND(Vout5&lt;&gt;0,Iout5&lt;&gt;0,Ns5_FlyB&lt;&gt;0),(ABS(Vout5)*(1-Q4))/(((n5_FlyB/Np)^2)*Lm_FlyB*Fsw),0)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IF(AND(Vout6&lt;&gt;0,Iout6&lt;&gt;0,Ns6_FlyB&lt;&gt;0),(Iout6/(1-Q4)),0)</f>
        <v>0</v>
      </c>
      <c r="AS4" s="103">
        <f t="shared" ref="AS4:AS35" si="25">IF(AND(Vout6&lt;&gt;0,Iout6&lt;&gt;0,Ns6_FlyB&lt;&gt;0),(ABS(Vout6)*(1-Q4))/(((n6_FlyB/Np)^2)*Lm_FlyB*Fsw),0)</f>
        <v>0</v>
      </c>
      <c r="AT4" s="103">
        <f t="shared" ref="AT4:AT35" si="26">IF(AND(Vout6&lt;&gt;0,Iout6&lt;&gt;0,Ns6_FlyB&lt;&gt;0),AP4*SQRT(1-Q4)*SQRT(1+((1/3)*((AP4/(2*AR4))^2))),0)</f>
        <v>0</v>
      </c>
      <c r="AU4" s="103">
        <f t="shared" ref="AU4:AU35" si="27">IF(AND(Vout6&lt;&gt;0,Iout6&lt;&gt;0,Ns6_FlyB&lt;&gt;0),SQRT((AT4^2)-(Iout6^2)),0)</f>
        <v>0</v>
      </c>
      <c r="AV4" s="143">
        <f t="shared" ref="AV4:AV35" si="28">(((L4-VoutPri_FB)*Q4)/(2*Np_T_FB*(Ae_FB/100)*Fsw))*(10^4)</f>
        <v>-0.14400921658986174</v>
      </c>
      <c r="AW4" s="143">
        <f>CM_3F35*(Fsw^x_3F35)*(AV4^y_3F35)*(TC_3F35)</f>
        <v>0</v>
      </c>
      <c r="AX4" s="154">
        <f t="shared" ref="AX4:AX35" si="29">AW4*(Ve_FB/1000)</f>
        <v>0</v>
      </c>
      <c r="AY4" s="155">
        <v>0</v>
      </c>
      <c r="AZ4" s="156">
        <f t="shared" ref="AZ4:AZ35" si="30">CM_3F36*(Fsw^x_3F36)*(AV4^y_3F36)*(TC_3F36)*(Ve_FB/1000)</f>
        <v>0</v>
      </c>
      <c r="BA4" s="157" t="e">
        <f t="shared" ref="BA4:BA35" si="31">CM_3C92*(Fsw^x_3C92)*(AV4^y_3C92)*(TC_3C92)/1000</f>
        <v>#NUM!</v>
      </c>
      <c r="BB4" s="158" t="e">
        <f t="shared" ref="BB4:BB35" si="32">(Ve_FB/1000)*BA4/1000</f>
        <v>#NUM!</v>
      </c>
      <c r="BC4" s="157" t="e">
        <f>(CM_3C96*(Fsw^x_3C96)*(AV4^y_3C96)*(TC_3C96))/1000</f>
        <v>#NUM!</v>
      </c>
      <c r="BD4" s="159" t="e">
        <f t="shared" ref="BD4:BD35" si="33">((Ve_FB/1000)*BC4)/1000</f>
        <v>#NUM!</v>
      </c>
      <c r="BE4" s="24" t="e">
        <f t="shared" ref="BE4:BE35" si="34">(M4^2)*RdcPri_FB</f>
        <v>#NUM!</v>
      </c>
      <c r="BF4" s="27" t="e">
        <f t="shared" ref="BF4:BF35" si="35">(Q4^2)*(RacPri_FB)</f>
        <v>#NUM!</v>
      </c>
      <c r="BG4" s="24" t="e">
        <f t="shared" ref="BG4:BG35" si="36">(Iout1^2)*Rdc1_FB</f>
        <v>#NUM!</v>
      </c>
      <c r="BH4" s="61" t="e">
        <f t="shared" ref="BH4:BH35" si="37">(AA4^2)*Rac1_FB</f>
        <v>#NUM!</v>
      </c>
      <c r="BI4" s="24">
        <f t="shared" ref="BI4:BI35" si="38">(Iout2^2)*Rdc2_FB</f>
        <v>0</v>
      </c>
      <c r="BJ4" s="27">
        <f t="shared" ref="BJ4:BJ35" si="39">(AE4^2)*Rac2_FB</f>
        <v>0</v>
      </c>
      <c r="BK4" s="24">
        <f t="shared" ref="BK4:BK35" si="40">(Iout3^2)*Rdc3_FB</f>
        <v>0</v>
      </c>
      <c r="BL4" s="27">
        <f t="shared" ref="BL4:BL35" si="41">(AI4^2)*Rac3_FB</f>
        <v>0</v>
      </c>
      <c r="BM4" s="24">
        <f t="shared" ref="BM4:BM35" si="42">(Iout4^2)*Rdc4_FB</f>
        <v>0</v>
      </c>
      <c r="BN4" s="27">
        <f t="shared" ref="BN4:BN35" si="43">(AM4^2)*Rac4_FB</f>
        <v>0</v>
      </c>
      <c r="BO4" s="24">
        <f t="shared" ref="BO4:BO35" si="44">(Iout5^2)*Rdc5_FB</f>
        <v>0</v>
      </c>
      <c r="BP4" s="27">
        <f t="shared" ref="BP4:BP35" si="45">(AQ4^2)*Rac5_FB</f>
        <v>0</v>
      </c>
      <c r="BQ4" s="147">
        <f t="shared" ref="BQ4:BQ35" si="46">(Iout6^2)*Rdc6_FB</f>
        <v>0</v>
      </c>
      <c r="BR4" s="27">
        <f t="shared" ref="BR4:BR35" si="47">(AU4^2)*Rac6_FB</f>
        <v>0</v>
      </c>
      <c r="BS4" s="91" t="e">
        <f>SUM(BE4:BR4)</f>
        <v>#NUM!</v>
      </c>
      <c r="BT4" s="206" t="e">
        <f>AZ4+BS4</f>
        <v>#NUM!</v>
      </c>
      <c r="BU4" s="206" t="e">
        <f>BS4+AX4</f>
        <v>#NUM!</v>
      </c>
      <c r="BV4" s="97" t="e">
        <f>BS4+BB4</f>
        <v>#NUM!</v>
      </c>
      <c r="BW4" s="123" t="e">
        <f>BD4+BS4</f>
        <v>#NUM!</v>
      </c>
      <c r="BX4" s="91">
        <f>(M4^2)*'Fly-Buck_Calc'!$B$80</f>
        <v>0.10937500000000001</v>
      </c>
      <c r="BY4" s="92">
        <f t="shared" ref="BY4:BY35" si="48">IF(AND(Vout1&lt;&gt;0,Iout1&lt;&gt;0),(Iout1^2)*$B$81,0)</f>
        <v>5.0000000000000001E-3</v>
      </c>
      <c r="BZ4" s="92">
        <f t="shared" ref="BZ4:BZ35" si="49">IF(AND(Vout2&lt;&gt;0,Iout2&lt;&gt;0),(Iout2^2)*$B$82,0)</f>
        <v>0</v>
      </c>
      <c r="CA4" s="92">
        <f t="shared" ref="CA4:CA35" si="50">IF(AND(Vout3&lt;&gt;0,Iout3&lt;&gt;0),(Iout3^2)*$B$83,0)</f>
        <v>0</v>
      </c>
      <c r="CB4" s="92">
        <f t="shared" ref="CB4:CB35" si="51">IF(AND(Vout4&lt;&gt;0,Iout4&lt;&gt;0),(Iout4^2)*$B$84,0)</f>
        <v>0</v>
      </c>
      <c r="CC4" s="92">
        <f t="shared" ref="CC4:CC35" si="52">IF(AND(Vout5&lt;&gt;0,Iout5&lt;&gt;0),(Iout5^2)*$B$85,0)</f>
        <v>0</v>
      </c>
      <c r="CD4" s="92">
        <f t="shared" ref="CD4:CD35" si="53">IF(AND(Vout6&lt;&gt;0,Iout6&lt;&gt;0),(Iout6^2)*$B$86,0)</f>
        <v>0</v>
      </c>
      <c r="CE4" s="127">
        <f>SUM(BX4:CD4)</f>
        <v>0.11437500000000002</v>
      </c>
      <c r="CF4" s="91">
        <f>$B$70*(M4^2)</f>
        <v>0.45312499999999994</v>
      </c>
      <c r="CG4" s="92">
        <f t="shared" ref="CG4:CG35" si="54">0.5*L4*R4*Fsw*T_Rise_Fall</f>
        <v>1.3500000000000002E-2</v>
      </c>
      <c r="CH4" s="206">
        <f t="shared" ref="CH4:CH35" si="55">R4*$B$75*1*Fsw</f>
        <v>3.7500000000000003E-3</v>
      </c>
      <c r="CI4" s="92">
        <f t="shared" ref="CI4:CI35" si="56">$B$76*Fsw*L4</f>
        <v>3.6000000000000004E-2</v>
      </c>
      <c r="CJ4" s="93">
        <f t="shared" ref="CJ4:CJ35" si="57">$B$71*$B$69*Fsw+$B$73*$B$69*Fsw</f>
        <v>0.09</v>
      </c>
      <c r="CK4" s="92">
        <f t="shared" ref="CK4:CK35" si="58">SUM(CF4:CJ4)</f>
        <v>0.59637499999999988</v>
      </c>
      <c r="CL4" s="188">
        <f t="shared" ref="CL4:CL35" si="59">IF(AND(Vout1&lt;&gt;0,Iout1&lt;&gt;0,Ns1_FlyB&lt;&gt;0),Iout1*Vdiode1,0)</f>
        <v>0.15</v>
      </c>
      <c r="CM4" s="206">
        <f t="shared" ref="CM4:CM35" si="60">IF(AND(Vout2&lt;&gt;0,Iout2&lt;&gt;0,Ns2_FlyB&lt;&gt;0),Iout2*Vdiode2,0)</f>
        <v>0</v>
      </c>
      <c r="CN4" s="206">
        <f t="shared" ref="CN4:CN35" si="61">IF(AND(Vout3&lt;&gt;0,Iout3&lt;&gt;0,Ns3_FlyB&lt;&gt;0),Iout3*Vdiode3,0)</f>
        <v>0</v>
      </c>
      <c r="CO4" s="206">
        <f t="shared" ref="CO4:CO35" si="62">IF(AND(Vout4&lt;&gt;0,Iout4&lt;&gt;0,Ns4_FlyB&lt;&gt;0),Iout4*Vdiode4,0)</f>
        <v>0</v>
      </c>
      <c r="CP4" s="206">
        <f t="shared" ref="CP4:CP35" si="63">IF(AND(Vout5&lt;&gt;0,Iout5&lt;&gt;0,Ns5_FlyB&lt;&gt;0),Iout5*Vdiode5,0)</f>
        <v>0</v>
      </c>
      <c r="CQ4" s="227">
        <f t="shared" ref="CQ4:CQ35" si="64">IF(AND(Vout6&lt;&gt;0,Iout6&lt;&gt;0,Ns6_FlyB&lt;&gt;0),Iout6*Vdiode6,0)</f>
        <v>0</v>
      </c>
      <c r="CR4" s="231">
        <f>SUM(CL4:CQ4)</f>
        <v>0.15</v>
      </c>
      <c r="CS4" s="206">
        <f t="shared" ref="CS4:CS35" si="65">CR4+CK4+CE4</f>
        <v>0.8607499999999999</v>
      </c>
      <c r="CT4" s="206">
        <f t="shared" ref="CT4:CT35" si="66">CS4+Pout_FB</f>
        <v>8.3607499999999995</v>
      </c>
      <c r="CU4" s="206">
        <f t="shared" ref="CU4:CU35" si="67">Pout_FB/CT4</f>
        <v>0.89704870974493922</v>
      </c>
      <c r="CV4">
        <f t="shared" ref="CV4:CV35" si="68">L4</f>
        <v>6</v>
      </c>
    </row>
    <row r="5" spans="1:100" ht="15" x14ac:dyDescent="0.25">
      <c r="A5" s="12" t="s">
        <v>316</v>
      </c>
      <c r="B5" s="12">
        <f>VoutPri_FB</f>
        <v>15</v>
      </c>
      <c r="C5" s="12" t="s">
        <v>5</v>
      </c>
      <c r="K5">
        <v>1</v>
      </c>
      <c r="L5" s="91">
        <f t="shared" si="0"/>
        <v>7.08</v>
      </c>
      <c r="M5" s="93">
        <f t="shared" si="1"/>
        <v>1.0593220338983051</v>
      </c>
      <c r="N5" s="122">
        <f t="shared" ref="N5:N54" si="69">IF(VoutPri_FB&gt;0,(VoutPri_FB/(0.9*RR*ILavg_FlyB*Fsw))*(1-(VoutPri_FB/L5)),0)</f>
        <v>-2.0715630885122412E-4</v>
      </c>
      <c r="O5" s="97">
        <f t="shared" ref="O5:O54" si="70">IF(VoutPri_FB&gt;0,(VoutPri_FB/(RR*ILavg_FlyB*Fsw))*(1-(VoutPri_FB/L5)),0)</f>
        <v>-1.8644067796610167E-4</v>
      </c>
      <c r="P5" s="123">
        <f t="shared" ref="P5:P54" si="71">IF(VoutPri_FB&gt;0,(VoutPri_FB/(1.1*RR*ILavg_FlyB*Fsw))*(1-(VoutPri_FB/L5)),0)</f>
        <v>-1.694915254237288E-4</v>
      </c>
      <c r="Q5" s="127">
        <f t="shared" ref="Q5:Q54" si="72">IF(VoutPri_FB&gt;0,VoutPri_FB/L5,0)</f>
        <v>2.1186440677966103</v>
      </c>
      <c r="R5" s="91">
        <f t="shared" ref="R5:R54" si="73">M5/Q5</f>
        <v>0.5</v>
      </c>
      <c r="S5" s="92">
        <f t="shared" si="2"/>
        <v>-0.93220338983050843</v>
      </c>
      <c r="T5" s="92">
        <f t="shared" ref="T5:T54" si="74">R5+(0.5*S5)</f>
        <v>3.3898305084745783E-2</v>
      </c>
      <c r="U5" s="92" t="e">
        <f t="shared" si="3"/>
        <v>#NUM!</v>
      </c>
      <c r="V5" s="93">
        <f t="shared" ref="V5:V35" si="75">R5*SQRT(Q5)*SQRT(1+((1/3)*(S5/(2*R5))^2))</f>
        <v>0.82649060255015816</v>
      </c>
      <c r="W5" s="92" t="e">
        <f t="shared" ref="W5:W54" si="76">SQRT((V5^2)-(M5^2))</f>
        <v>#NUM!</v>
      </c>
      <c r="X5" s="117">
        <f t="shared" si="4"/>
        <v>-0.44696969696969691</v>
      </c>
      <c r="Y5" s="103">
        <f t="shared" si="5"/>
        <v>-0.41431261770244837</v>
      </c>
      <c r="Z5" s="103" t="e">
        <f t="shared" si="6"/>
        <v>#NUM!</v>
      </c>
      <c r="AA5" s="118" t="e">
        <f t="shared" si="7"/>
        <v>#NUM!</v>
      </c>
      <c r="AB5" s="117">
        <f t="shared" si="8"/>
        <v>0</v>
      </c>
      <c r="AC5" s="103">
        <f t="shared" si="9"/>
        <v>0</v>
      </c>
      <c r="AD5" s="103">
        <f t="shared" si="10"/>
        <v>0</v>
      </c>
      <c r="AE5" s="118">
        <f t="shared" si="11"/>
        <v>0</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21">
        <f t="shared" si="28"/>
        <v>-0.10739670389752401</v>
      </c>
      <c r="AW5" s="21">
        <f t="shared" ref="AW5:AW54" si="77">CM_3F35*(Fsw^x_3F35)*(AV5^y_3F35)*(TC_3F35)</f>
        <v>0</v>
      </c>
      <c r="AX5" s="139">
        <f t="shared" si="29"/>
        <v>0</v>
      </c>
      <c r="AY5" s="140">
        <v>1</v>
      </c>
      <c r="AZ5" s="141">
        <f t="shared" si="30"/>
        <v>0</v>
      </c>
      <c r="BA5" s="19" t="e">
        <f t="shared" si="31"/>
        <v>#NUM!</v>
      </c>
      <c r="BB5" s="142" t="e">
        <f t="shared" si="32"/>
        <v>#NUM!</v>
      </c>
      <c r="BC5" s="19" t="e">
        <f t="shared" ref="BC5:BC54" si="78">(CM_3C96*(Fsw^x_3C96)*(AV5^y_3C96)*(TC_3C96))/1000</f>
        <v>#NUM!</v>
      </c>
      <c r="BD5" s="79" t="e">
        <f t="shared" si="33"/>
        <v>#NUM!</v>
      </c>
      <c r="BE5" s="144" t="e">
        <f t="shared" si="34"/>
        <v>#NUM!</v>
      </c>
      <c r="BF5" s="148" t="e">
        <f t="shared" si="35"/>
        <v>#NUM!</v>
      </c>
      <c r="BG5" s="144" t="e">
        <f t="shared" si="36"/>
        <v>#NUM!</v>
      </c>
      <c r="BH5" s="152" t="e">
        <f t="shared" si="37"/>
        <v>#NUM!</v>
      </c>
      <c r="BI5" s="28">
        <f t="shared" si="38"/>
        <v>0</v>
      </c>
      <c r="BJ5" s="29">
        <f t="shared" si="39"/>
        <v>0</v>
      </c>
      <c r="BK5" s="28">
        <f t="shared" si="40"/>
        <v>0</v>
      </c>
      <c r="BL5" s="29">
        <f t="shared" si="41"/>
        <v>0</v>
      </c>
      <c r="BM5" s="28">
        <f t="shared" si="42"/>
        <v>0</v>
      </c>
      <c r="BN5" s="29">
        <f t="shared" si="43"/>
        <v>0</v>
      </c>
      <c r="BO5" s="28">
        <f t="shared" si="44"/>
        <v>0</v>
      </c>
      <c r="BP5" s="29">
        <f t="shared" si="45"/>
        <v>0</v>
      </c>
      <c r="BQ5" s="150">
        <f t="shared" si="46"/>
        <v>0</v>
      </c>
      <c r="BR5" s="29">
        <f t="shared" si="47"/>
        <v>0</v>
      </c>
      <c r="BS5" s="91" t="e">
        <f t="shared" ref="BS5:BS54" si="79">SUM(BE5:BR5)</f>
        <v>#NUM!</v>
      </c>
      <c r="BT5" s="206" t="e">
        <f t="shared" ref="BT5:BT54" si="80">AZ5+BS5</f>
        <v>#NUM!</v>
      </c>
      <c r="BU5" s="206" t="e">
        <f t="shared" ref="BU5:BU54" si="81">BS5+AX5</f>
        <v>#NUM!</v>
      </c>
      <c r="BV5" s="97" t="e">
        <f t="shared" ref="BV5:BV54" si="82">BS5+BB5</f>
        <v>#NUM!</v>
      </c>
      <c r="BW5" s="123" t="e">
        <f t="shared" ref="BW5:BW54" si="83">BD5+BS5</f>
        <v>#NUM!</v>
      </c>
      <c r="BX5" s="91">
        <f>(M5^2)*'Fly-Buck_Calc'!$B$80</f>
        <v>7.8551422005170957E-2</v>
      </c>
      <c r="BY5" s="92">
        <f t="shared" si="48"/>
        <v>5.0000000000000001E-3</v>
      </c>
      <c r="BZ5" s="92">
        <f t="shared" si="49"/>
        <v>0</v>
      </c>
      <c r="CA5" s="92">
        <f t="shared" si="50"/>
        <v>0</v>
      </c>
      <c r="CB5" s="92">
        <f t="shared" si="51"/>
        <v>0</v>
      </c>
      <c r="CC5" s="92">
        <f t="shared" si="52"/>
        <v>0</v>
      </c>
      <c r="CD5" s="92">
        <f t="shared" si="53"/>
        <v>0</v>
      </c>
      <c r="CE5" s="127">
        <f t="shared" ref="CE5:CE54" si="84">SUM(BX5:CD5)</f>
        <v>8.3551422005170961E-2</v>
      </c>
      <c r="CF5" s="91">
        <f t="shared" ref="CF5:CF54" si="85">$B$70*(M5^2)</f>
        <v>0.32542731973570815</v>
      </c>
      <c r="CG5" s="92">
        <f t="shared" si="54"/>
        <v>1.5930000000000003E-2</v>
      </c>
      <c r="CH5" s="206">
        <f t="shared" si="55"/>
        <v>3.7500000000000003E-3</v>
      </c>
      <c r="CI5" s="92">
        <f t="shared" si="56"/>
        <v>4.2480000000000004E-2</v>
      </c>
      <c r="CJ5" s="93">
        <f t="shared" si="57"/>
        <v>0.09</v>
      </c>
      <c r="CK5" s="92">
        <f t="shared" si="58"/>
        <v>0.47758731973570812</v>
      </c>
      <c r="CL5" s="188">
        <f t="shared" si="59"/>
        <v>0.15</v>
      </c>
      <c r="CM5" s="206">
        <f t="shared" si="60"/>
        <v>0</v>
      </c>
      <c r="CN5" s="206">
        <f t="shared" si="61"/>
        <v>0</v>
      </c>
      <c r="CO5" s="206">
        <f t="shared" si="62"/>
        <v>0</v>
      </c>
      <c r="CP5" s="206">
        <f t="shared" si="63"/>
        <v>0</v>
      </c>
      <c r="CQ5" s="227">
        <f t="shared" si="64"/>
        <v>0</v>
      </c>
      <c r="CR5" s="231">
        <f t="shared" ref="CR5:CR54" si="86">SUM(CL5:CQ5)</f>
        <v>0.15</v>
      </c>
      <c r="CS5" s="206">
        <f t="shared" si="65"/>
        <v>0.7111387417408791</v>
      </c>
      <c r="CT5" s="206">
        <f t="shared" si="66"/>
        <v>8.2111387417408785</v>
      </c>
      <c r="CU5" s="206">
        <f t="shared" si="67"/>
        <v>0.91339340813645697</v>
      </c>
      <c r="CV5">
        <f t="shared" si="68"/>
        <v>7.08</v>
      </c>
    </row>
    <row r="6" spans="1:100" ht="15" x14ac:dyDescent="0.25">
      <c r="A6" s="524" t="s">
        <v>283</v>
      </c>
      <c r="B6" s="524"/>
      <c r="C6" s="12"/>
      <c r="K6">
        <v>2</v>
      </c>
      <c r="L6" s="91">
        <f t="shared" si="0"/>
        <v>8.16</v>
      </c>
      <c r="M6" s="93">
        <f t="shared" si="1"/>
        <v>0.91911764705882348</v>
      </c>
      <c r="N6" s="122">
        <f t="shared" si="69"/>
        <v>-1.5522875816993461E-4</v>
      </c>
      <c r="O6" s="97">
        <f t="shared" si="70"/>
        <v>-1.3970588235294112E-4</v>
      </c>
      <c r="P6" s="123">
        <f t="shared" si="71"/>
        <v>-1.2700534759358284E-4</v>
      </c>
      <c r="Q6" s="127">
        <f t="shared" si="72"/>
        <v>1.838235294117647</v>
      </c>
      <c r="R6" s="91">
        <f t="shared" si="73"/>
        <v>0.5</v>
      </c>
      <c r="S6" s="92">
        <f t="shared" si="2"/>
        <v>-0.69852941176470584</v>
      </c>
      <c r="T6" s="92">
        <f t="shared" si="74"/>
        <v>0.15073529411764708</v>
      </c>
      <c r="U6" s="92" t="e">
        <f t="shared" si="3"/>
        <v>#NUM!</v>
      </c>
      <c r="V6" s="93">
        <f t="shared" si="75"/>
        <v>0.73096172664378789</v>
      </c>
      <c r="W6" s="92" t="e">
        <f t="shared" si="76"/>
        <v>#NUM!</v>
      </c>
      <c r="X6" s="117">
        <f t="shared" si="4"/>
        <v>-0.59649122807017552</v>
      </c>
      <c r="Y6" s="103">
        <f t="shared" si="5"/>
        <v>-0.31045751633986929</v>
      </c>
      <c r="Z6" s="103" t="e">
        <f t="shared" si="6"/>
        <v>#NUM!</v>
      </c>
      <c r="AA6" s="118" t="e">
        <f t="shared" si="7"/>
        <v>#NUM!</v>
      </c>
      <c r="AB6" s="117">
        <f t="shared" si="8"/>
        <v>0</v>
      </c>
      <c r="AC6" s="103">
        <f t="shared" si="9"/>
        <v>0</v>
      </c>
      <c r="AD6" s="103">
        <f t="shared" si="10"/>
        <v>0</v>
      </c>
      <c r="AE6" s="118">
        <f t="shared" si="11"/>
        <v>0</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21">
        <f t="shared" si="28"/>
        <v>-8.0475738682569797E-2</v>
      </c>
      <c r="AW6" s="21">
        <f t="shared" si="77"/>
        <v>0</v>
      </c>
      <c r="AX6" s="139">
        <f t="shared" si="29"/>
        <v>0</v>
      </c>
      <c r="AY6" s="140">
        <v>2</v>
      </c>
      <c r="AZ6" s="141">
        <f t="shared" si="30"/>
        <v>0</v>
      </c>
      <c r="BA6" s="19" t="e">
        <f t="shared" si="31"/>
        <v>#NUM!</v>
      </c>
      <c r="BB6" s="142" t="e">
        <f t="shared" si="32"/>
        <v>#NUM!</v>
      </c>
      <c r="BC6" s="19" t="e">
        <f t="shared" si="78"/>
        <v>#NUM!</v>
      </c>
      <c r="BD6" s="79" t="e">
        <f t="shared" si="33"/>
        <v>#NUM!</v>
      </c>
      <c r="BE6" s="144" t="e">
        <f t="shared" si="34"/>
        <v>#NUM!</v>
      </c>
      <c r="BF6" s="148" t="e">
        <f t="shared" si="35"/>
        <v>#NUM!</v>
      </c>
      <c r="BG6" s="144" t="e">
        <f t="shared" si="36"/>
        <v>#NUM!</v>
      </c>
      <c r="BH6" s="152" t="e">
        <f t="shared" si="37"/>
        <v>#NUM!</v>
      </c>
      <c r="BI6" s="28">
        <f t="shared" si="38"/>
        <v>0</v>
      </c>
      <c r="BJ6" s="29">
        <f t="shared" si="39"/>
        <v>0</v>
      </c>
      <c r="BK6" s="28">
        <f t="shared" si="40"/>
        <v>0</v>
      </c>
      <c r="BL6" s="29">
        <f t="shared" si="41"/>
        <v>0</v>
      </c>
      <c r="BM6" s="28">
        <f t="shared" si="42"/>
        <v>0</v>
      </c>
      <c r="BN6" s="29">
        <f t="shared" si="43"/>
        <v>0</v>
      </c>
      <c r="BO6" s="28">
        <f t="shared" si="44"/>
        <v>0</v>
      </c>
      <c r="BP6" s="29">
        <f t="shared" si="45"/>
        <v>0</v>
      </c>
      <c r="BQ6" s="150">
        <f t="shared" si="46"/>
        <v>0</v>
      </c>
      <c r="BR6" s="29">
        <f t="shared" si="47"/>
        <v>0</v>
      </c>
      <c r="BS6" s="91" t="e">
        <f t="shared" si="79"/>
        <v>#NUM!</v>
      </c>
      <c r="BT6" s="206" t="e">
        <f t="shared" si="80"/>
        <v>#NUM!</v>
      </c>
      <c r="BU6" s="206" t="e">
        <f t="shared" si="81"/>
        <v>#NUM!</v>
      </c>
      <c r="BV6" s="97" t="e">
        <f t="shared" si="82"/>
        <v>#NUM!</v>
      </c>
      <c r="BW6" s="123" t="e">
        <f t="shared" si="83"/>
        <v>#NUM!</v>
      </c>
      <c r="BX6" s="91">
        <f>(M6^2)*'Fly-Buck_Calc'!$B$80</f>
        <v>5.9134407439446368E-2</v>
      </c>
      <c r="BY6" s="92">
        <f t="shared" si="48"/>
        <v>5.0000000000000001E-3</v>
      </c>
      <c r="BZ6" s="92">
        <f t="shared" si="49"/>
        <v>0</v>
      </c>
      <c r="CA6" s="92">
        <f t="shared" si="50"/>
        <v>0</v>
      </c>
      <c r="CB6" s="92">
        <f t="shared" si="51"/>
        <v>0</v>
      </c>
      <c r="CC6" s="92">
        <f t="shared" si="52"/>
        <v>0</v>
      </c>
      <c r="CD6" s="92">
        <f t="shared" si="53"/>
        <v>0</v>
      </c>
      <c r="CE6" s="127">
        <f t="shared" si="84"/>
        <v>6.4134407439446373E-2</v>
      </c>
      <c r="CF6" s="91">
        <f t="shared" si="85"/>
        <v>0.2449854022491349</v>
      </c>
      <c r="CG6" s="92">
        <f t="shared" si="54"/>
        <v>1.8360000000000001E-2</v>
      </c>
      <c r="CH6" s="206">
        <f t="shared" si="55"/>
        <v>3.7500000000000003E-3</v>
      </c>
      <c r="CI6" s="92">
        <f t="shared" si="56"/>
        <v>4.8960000000000004E-2</v>
      </c>
      <c r="CJ6" s="93">
        <f t="shared" si="57"/>
        <v>0.09</v>
      </c>
      <c r="CK6" s="92">
        <f t="shared" si="58"/>
        <v>0.40605540224913483</v>
      </c>
      <c r="CL6" s="188">
        <f t="shared" si="59"/>
        <v>0.15</v>
      </c>
      <c r="CM6" s="206">
        <f t="shared" si="60"/>
        <v>0</v>
      </c>
      <c r="CN6" s="206">
        <f t="shared" si="61"/>
        <v>0</v>
      </c>
      <c r="CO6" s="206">
        <f t="shared" si="62"/>
        <v>0</v>
      </c>
      <c r="CP6" s="206">
        <f t="shared" si="63"/>
        <v>0</v>
      </c>
      <c r="CQ6" s="227">
        <f t="shared" si="64"/>
        <v>0</v>
      </c>
      <c r="CR6" s="231">
        <f t="shared" si="86"/>
        <v>0.15</v>
      </c>
      <c r="CS6" s="206">
        <f t="shared" si="65"/>
        <v>0.62018980968858117</v>
      </c>
      <c r="CT6" s="206">
        <f t="shared" si="66"/>
        <v>8.120189809688581</v>
      </c>
      <c r="CU6" s="206">
        <f t="shared" si="67"/>
        <v>0.92362372995904563</v>
      </c>
      <c r="CV6">
        <f t="shared" si="68"/>
        <v>8.16</v>
      </c>
    </row>
    <row r="7" spans="1:100" ht="15" x14ac:dyDescent="0.25">
      <c r="A7" s="12" t="s">
        <v>284</v>
      </c>
      <c r="B7" s="6">
        <f>VoutPri_FB/VinMax</f>
        <v>0.25</v>
      </c>
      <c r="C7" s="12"/>
      <c r="K7">
        <v>3</v>
      </c>
      <c r="L7" s="91">
        <f t="shared" si="0"/>
        <v>9.24</v>
      </c>
      <c r="M7" s="93">
        <f t="shared" si="1"/>
        <v>0.81168831168831168</v>
      </c>
      <c r="N7" s="122">
        <f t="shared" si="69"/>
        <v>-1.1544011544011543E-4</v>
      </c>
      <c r="O7" s="97">
        <f t="shared" si="70"/>
        <v>-1.0389610389610387E-4</v>
      </c>
      <c r="P7" s="123">
        <f t="shared" si="71"/>
        <v>-9.445100354191262E-5</v>
      </c>
      <c r="Q7" s="127">
        <f t="shared" si="72"/>
        <v>1.6233766233766234</v>
      </c>
      <c r="R7" s="91">
        <f t="shared" si="73"/>
        <v>0.5</v>
      </c>
      <c r="S7" s="92">
        <f t="shared" si="2"/>
        <v>-0.51948051948051943</v>
      </c>
      <c r="T7" s="92">
        <f t="shared" si="74"/>
        <v>0.24025974025974028</v>
      </c>
      <c r="U7" s="92" t="e">
        <f t="shared" si="3"/>
        <v>#NUM!</v>
      </c>
      <c r="V7" s="93">
        <f t="shared" si="75"/>
        <v>0.66509487431884806</v>
      </c>
      <c r="W7" s="92" t="e">
        <f t="shared" si="76"/>
        <v>#NUM!</v>
      </c>
      <c r="X7" s="117">
        <f t="shared" si="4"/>
        <v>-0.80208333333333337</v>
      </c>
      <c r="Y7" s="103">
        <f t="shared" si="5"/>
        <v>-0.23088023088023091</v>
      </c>
      <c r="Z7" s="103" t="e">
        <f t="shared" si="6"/>
        <v>#NUM!</v>
      </c>
      <c r="AA7" s="118" t="e">
        <f t="shared" si="7"/>
        <v>#NUM!</v>
      </c>
      <c r="AB7" s="117">
        <f t="shared" si="8"/>
        <v>0</v>
      </c>
      <c r="AC7" s="103">
        <f t="shared" si="9"/>
        <v>0</v>
      </c>
      <c r="AD7" s="103">
        <f t="shared" si="10"/>
        <v>0</v>
      </c>
      <c r="AE7" s="118">
        <f t="shared" si="11"/>
        <v>0</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21">
        <f t="shared" si="28"/>
        <v>-5.9847986115267218E-2</v>
      </c>
      <c r="AW7" s="21">
        <f t="shared" si="77"/>
        <v>0</v>
      </c>
      <c r="AX7" s="139">
        <f t="shared" si="29"/>
        <v>0</v>
      </c>
      <c r="AY7" s="140">
        <v>3</v>
      </c>
      <c r="AZ7" s="141">
        <f t="shared" si="30"/>
        <v>0</v>
      </c>
      <c r="BA7" s="19" t="e">
        <f t="shared" si="31"/>
        <v>#NUM!</v>
      </c>
      <c r="BB7" s="142" t="e">
        <f t="shared" si="32"/>
        <v>#NUM!</v>
      </c>
      <c r="BC7" s="19" t="e">
        <f t="shared" si="78"/>
        <v>#NUM!</v>
      </c>
      <c r="BD7" s="79" t="e">
        <f t="shared" si="33"/>
        <v>#NUM!</v>
      </c>
      <c r="BE7" s="144" t="e">
        <f t="shared" si="34"/>
        <v>#NUM!</v>
      </c>
      <c r="BF7" s="148" t="e">
        <f t="shared" si="35"/>
        <v>#NUM!</v>
      </c>
      <c r="BG7" s="144" t="e">
        <f t="shared" si="36"/>
        <v>#NUM!</v>
      </c>
      <c r="BH7" s="152" t="e">
        <f t="shared" si="37"/>
        <v>#NUM!</v>
      </c>
      <c r="BI7" s="28">
        <f t="shared" si="38"/>
        <v>0</v>
      </c>
      <c r="BJ7" s="29">
        <f t="shared" si="39"/>
        <v>0</v>
      </c>
      <c r="BK7" s="28">
        <f t="shared" si="40"/>
        <v>0</v>
      </c>
      <c r="BL7" s="29">
        <f t="shared" si="41"/>
        <v>0</v>
      </c>
      <c r="BM7" s="28">
        <f t="shared" si="42"/>
        <v>0</v>
      </c>
      <c r="BN7" s="29">
        <f t="shared" si="43"/>
        <v>0</v>
      </c>
      <c r="BO7" s="28">
        <f t="shared" si="44"/>
        <v>0</v>
      </c>
      <c r="BP7" s="29">
        <f t="shared" si="45"/>
        <v>0</v>
      </c>
      <c r="BQ7" s="150">
        <f t="shared" si="46"/>
        <v>0</v>
      </c>
      <c r="BR7" s="29">
        <f t="shared" si="47"/>
        <v>0</v>
      </c>
      <c r="BS7" s="91" t="e">
        <f t="shared" si="79"/>
        <v>#NUM!</v>
      </c>
      <c r="BT7" s="206" t="e">
        <f t="shared" si="80"/>
        <v>#NUM!</v>
      </c>
      <c r="BU7" s="206" t="e">
        <f t="shared" si="81"/>
        <v>#NUM!</v>
      </c>
      <c r="BV7" s="97" t="e">
        <f t="shared" si="82"/>
        <v>#NUM!</v>
      </c>
      <c r="BW7" s="123" t="e">
        <f t="shared" si="83"/>
        <v>#NUM!</v>
      </c>
      <c r="BX7" s="91">
        <f>(M7^2)*'Fly-Buck_Calc'!$B$80</f>
        <v>4.6118654073199532E-2</v>
      </c>
      <c r="BY7" s="92">
        <f t="shared" si="48"/>
        <v>5.0000000000000001E-3</v>
      </c>
      <c r="BZ7" s="92">
        <f t="shared" si="49"/>
        <v>0</v>
      </c>
      <c r="CA7" s="92">
        <f t="shared" si="50"/>
        <v>0</v>
      </c>
      <c r="CB7" s="92">
        <f t="shared" si="51"/>
        <v>0</v>
      </c>
      <c r="CC7" s="92">
        <f t="shared" si="52"/>
        <v>0</v>
      </c>
      <c r="CD7" s="92">
        <f t="shared" si="53"/>
        <v>0</v>
      </c>
      <c r="CE7" s="127">
        <f t="shared" si="84"/>
        <v>5.1118654073199529E-2</v>
      </c>
      <c r="CF7" s="91">
        <f t="shared" si="85"/>
        <v>0.1910629954461123</v>
      </c>
      <c r="CG7" s="92">
        <f t="shared" si="54"/>
        <v>2.0790000000000003E-2</v>
      </c>
      <c r="CH7" s="206">
        <f t="shared" si="55"/>
        <v>3.7500000000000003E-3</v>
      </c>
      <c r="CI7" s="92">
        <f t="shared" si="56"/>
        <v>5.5440000000000003E-2</v>
      </c>
      <c r="CJ7" s="93">
        <f t="shared" si="57"/>
        <v>0.09</v>
      </c>
      <c r="CK7" s="92">
        <f t="shared" si="58"/>
        <v>0.36104299544611229</v>
      </c>
      <c r="CL7" s="188">
        <f t="shared" si="59"/>
        <v>0.15</v>
      </c>
      <c r="CM7" s="206">
        <f t="shared" si="60"/>
        <v>0</v>
      </c>
      <c r="CN7" s="206">
        <f t="shared" si="61"/>
        <v>0</v>
      </c>
      <c r="CO7" s="206">
        <f t="shared" si="62"/>
        <v>0</v>
      </c>
      <c r="CP7" s="206">
        <f t="shared" si="63"/>
        <v>0</v>
      </c>
      <c r="CQ7" s="227">
        <f t="shared" si="64"/>
        <v>0</v>
      </c>
      <c r="CR7" s="231">
        <f t="shared" si="86"/>
        <v>0.15</v>
      </c>
      <c r="CS7" s="206">
        <f t="shared" si="65"/>
        <v>0.5621616495193118</v>
      </c>
      <c r="CT7" s="206">
        <f t="shared" si="66"/>
        <v>8.0621616495193109</v>
      </c>
      <c r="CU7" s="206">
        <f t="shared" si="67"/>
        <v>0.9302715978719146</v>
      </c>
      <c r="CV7">
        <f t="shared" si="68"/>
        <v>9.24</v>
      </c>
    </row>
    <row r="8" spans="1:100" ht="15" x14ac:dyDescent="0.25">
      <c r="A8" s="12" t="s">
        <v>287</v>
      </c>
      <c r="B8" s="19">
        <f>B7/Fsw</f>
        <v>8.3333333333333333E-7</v>
      </c>
      <c r="C8" s="12" t="s">
        <v>312</v>
      </c>
      <c r="K8">
        <v>4</v>
      </c>
      <c r="L8" s="91">
        <f t="shared" si="0"/>
        <v>10.32</v>
      </c>
      <c r="M8" s="93">
        <f t="shared" si="1"/>
        <v>0.72674418604651159</v>
      </c>
      <c r="N8" s="122">
        <f t="shared" si="69"/>
        <v>-8.3979328165374652E-5</v>
      </c>
      <c r="O8" s="97">
        <f t="shared" si="70"/>
        <v>-7.5581395348837184E-5</v>
      </c>
      <c r="P8" s="123">
        <f t="shared" si="71"/>
        <v>-6.8710359408033795E-5</v>
      </c>
      <c r="Q8" s="127">
        <f t="shared" si="72"/>
        <v>1.4534883720930232</v>
      </c>
      <c r="R8" s="91">
        <f t="shared" si="73"/>
        <v>0.5</v>
      </c>
      <c r="S8" s="92">
        <f t="shared" si="2"/>
        <v>-0.377906976744186</v>
      </c>
      <c r="T8" s="92">
        <f t="shared" si="74"/>
        <v>0.31104651162790697</v>
      </c>
      <c r="U8" s="92" t="e">
        <f t="shared" si="3"/>
        <v>#NUM!</v>
      </c>
      <c r="V8" s="93">
        <f t="shared" si="75"/>
        <v>0.61698481504814329</v>
      </c>
      <c r="W8" s="92" t="e">
        <f t="shared" si="76"/>
        <v>#NUM!</v>
      </c>
      <c r="X8" s="117">
        <f t="shared" si="4"/>
        <v>-1.1025641025641029</v>
      </c>
      <c r="Y8" s="103">
        <f t="shared" si="5"/>
        <v>-0.16795865633074936</v>
      </c>
      <c r="Z8" s="103" t="e">
        <f t="shared" si="6"/>
        <v>#NUM!</v>
      </c>
      <c r="AA8" s="118" t="e">
        <f t="shared" si="7"/>
        <v>#NUM!</v>
      </c>
      <c r="AB8" s="117">
        <f t="shared" si="8"/>
        <v>0</v>
      </c>
      <c r="AC8" s="103">
        <f t="shared" si="9"/>
        <v>0</v>
      </c>
      <c r="AD8" s="103">
        <f t="shared" si="10"/>
        <v>0</v>
      </c>
      <c r="AE8" s="118">
        <f t="shared" si="11"/>
        <v>0</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21">
        <f t="shared" si="28"/>
        <v>-4.3537670131818661E-2</v>
      </c>
      <c r="AW8" s="21">
        <f t="shared" si="77"/>
        <v>0</v>
      </c>
      <c r="AX8" s="139">
        <f t="shared" si="29"/>
        <v>0</v>
      </c>
      <c r="AY8" s="140">
        <v>4</v>
      </c>
      <c r="AZ8" s="141">
        <f t="shared" si="30"/>
        <v>0</v>
      </c>
      <c r="BA8" s="19" t="e">
        <f t="shared" si="31"/>
        <v>#NUM!</v>
      </c>
      <c r="BB8" s="142" t="e">
        <f t="shared" si="32"/>
        <v>#NUM!</v>
      </c>
      <c r="BC8" s="19" t="e">
        <f t="shared" si="78"/>
        <v>#NUM!</v>
      </c>
      <c r="BD8" s="79" t="e">
        <f t="shared" si="33"/>
        <v>#NUM!</v>
      </c>
      <c r="BE8" s="144" t="e">
        <f t="shared" si="34"/>
        <v>#NUM!</v>
      </c>
      <c r="BF8" s="148" t="e">
        <f t="shared" si="35"/>
        <v>#NUM!</v>
      </c>
      <c r="BG8" s="144" t="e">
        <f t="shared" si="36"/>
        <v>#NUM!</v>
      </c>
      <c r="BH8" s="152" t="e">
        <f t="shared" si="37"/>
        <v>#NUM!</v>
      </c>
      <c r="BI8" s="28">
        <f t="shared" si="38"/>
        <v>0</v>
      </c>
      <c r="BJ8" s="29">
        <f t="shared" si="39"/>
        <v>0</v>
      </c>
      <c r="BK8" s="28">
        <f t="shared" si="40"/>
        <v>0</v>
      </c>
      <c r="BL8" s="29">
        <f t="shared" si="41"/>
        <v>0</v>
      </c>
      <c r="BM8" s="28">
        <f t="shared" si="42"/>
        <v>0</v>
      </c>
      <c r="BN8" s="29">
        <f t="shared" si="43"/>
        <v>0</v>
      </c>
      <c r="BO8" s="28">
        <f t="shared" si="44"/>
        <v>0</v>
      </c>
      <c r="BP8" s="29">
        <f t="shared" si="45"/>
        <v>0</v>
      </c>
      <c r="BQ8" s="150">
        <f t="shared" si="46"/>
        <v>0</v>
      </c>
      <c r="BR8" s="29">
        <f t="shared" si="47"/>
        <v>0</v>
      </c>
      <c r="BS8" s="91" t="e">
        <f t="shared" si="79"/>
        <v>#NUM!</v>
      </c>
      <c r="BT8" s="206" t="e">
        <f t="shared" si="80"/>
        <v>#NUM!</v>
      </c>
      <c r="BU8" s="206" t="e">
        <f t="shared" si="81"/>
        <v>#NUM!</v>
      </c>
      <c r="BV8" s="97" t="e">
        <f t="shared" si="82"/>
        <v>#NUM!</v>
      </c>
      <c r="BW8" s="123" t="e">
        <f t="shared" si="83"/>
        <v>#NUM!</v>
      </c>
      <c r="BX8" s="91">
        <f>(M8^2)*'Fly-Buck_Calc'!$B$80</f>
        <v>3.6970997836668469E-2</v>
      </c>
      <c r="BY8" s="92">
        <f t="shared" si="48"/>
        <v>5.0000000000000001E-3</v>
      </c>
      <c r="BZ8" s="92">
        <f t="shared" si="49"/>
        <v>0</v>
      </c>
      <c r="CA8" s="92">
        <f t="shared" si="50"/>
        <v>0</v>
      </c>
      <c r="CB8" s="92">
        <f t="shared" si="51"/>
        <v>0</v>
      </c>
      <c r="CC8" s="92">
        <f t="shared" si="52"/>
        <v>0</v>
      </c>
      <c r="CD8" s="92">
        <f t="shared" si="53"/>
        <v>0</v>
      </c>
      <c r="CE8" s="127">
        <f t="shared" si="84"/>
        <v>4.1970997836668467E-2</v>
      </c>
      <c r="CF8" s="91">
        <f t="shared" si="85"/>
        <v>0.15316556246619792</v>
      </c>
      <c r="CG8" s="92">
        <f t="shared" si="54"/>
        <v>2.3220000000000005E-2</v>
      </c>
      <c r="CH8" s="206">
        <f t="shared" si="55"/>
        <v>3.7500000000000003E-3</v>
      </c>
      <c r="CI8" s="92">
        <f t="shared" si="56"/>
        <v>6.1920000000000003E-2</v>
      </c>
      <c r="CJ8" s="93">
        <f t="shared" si="57"/>
        <v>0.09</v>
      </c>
      <c r="CK8" s="92">
        <f t="shared" si="58"/>
        <v>0.33205556246619794</v>
      </c>
      <c r="CL8" s="188">
        <f t="shared" si="59"/>
        <v>0.15</v>
      </c>
      <c r="CM8" s="206">
        <f t="shared" si="60"/>
        <v>0</v>
      </c>
      <c r="CN8" s="206">
        <f t="shared" si="61"/>
        <v>0</v>
      </c>
      <c r="CO8" s="206">
        <f t="shared" si="62"/>
        <v>0</v>
      </c>
      <c r="CP8" s="206">
        <f t="shared" si="63"/>
        <v>0</v>
      </c>
      <c r="CQ8" s="227">
        <f t="shared" si="64"/>
        <v>0</v>
      </c>
      <c r="CR8" s="231">
        <f t="shared" si="86"/>
        <v>0.15</v>
      </c>
      <c r="CS8" s="206">
        <f t="shared" si="65"/>
        <v>0.52402656030286643</v>
      </c>
      <c r="CT8" s="206">
        <f t="shared" si="66"/>
        <v>8.0240265603028664</v>
      </c>
      <c r="CU8" s="206">
        <f t="shared" si="67"/>
        <v>0.93469281832946882</v>
      </c>
      <c r="CV8">
        <f t="shared" si="68"/>
        <v>10.32</v>
      </c>
    </row>
    <row r="9" spans="1:100" ht="15" x14ac:dyDescent="0.25">
      <c r="A9" s="12" t="s">
        <v>285</v>
      </c>
      <c r="B9" s="6">
        <f>VoutPri_FB/VinMin</f>
        <v>2.5</v>
      </c>
      <c r="C9" s="12"/>
      <c r="K9">
        <v>5</v>
      </c>
      <c r="L9" s="91">
        <f t="shared" si="0"/>
        <v>11.4</v>
      </c>
      <c r="M9" s="93">
        <f t="shared" si="1"/>
        <v>0.6578947368421052</v>
      </c>
      <c r="N9" s="122">
        <f t="shared" si="69"/>
        <v>-5.8479532163742665E-5</v>
      </c>
      <c r="O9" s="97">
        <f t="shared" si="70"/>
        <v>-5.263157894736839E-5</v>
      </c>
      <c r="P9" s="123">
        <f t="shared" si="71"/>
        <v>-4.7846889952153084E-5</v>
      </c>
      <c r="Q9" s="127">
        <f t="shared" si="72"/>
        <v>1.3157894736842104</v>
      </c>
      <c r="R9" s="91">
        <f t="shared" si="73"/>
        <v>0.5</v>
      </c>
      <c r="S9" s="92">
        <f t="shared" si="2"/>
        <v>-0.26315789473684204</v>
      </c>
      <c r="T9" s="92">
        <f t="shared" si="74"/>
        <v>0.36842105263157898</v>
      </c>
      <c r="U9" s="92" t="e">
        <f t="shared" si="3"/>
        <v>#NUM!</v>
      </c>
      <c r="V9" s="93">
        <f t="shared" si="75"/>
        <v>0.58012136486973587</v>
      </c>
      <c r="W9" s="92" t="e">
        <f t="shared" si="76"/>
        <v>#NUM!</v>
      </c>
      <c r="X9" s="117">
        <f t="shared" si="4"/>
        <v>-1.5833333333333339</v>
      </c>
      <c r="Y9" s="103">
        <f t="shared" si="5"/>
        <v>-0.11695906432748535</v>
      </c>
      <c r="Z9" s="103" t="e">
        <f t="shared" si="6"/>
        <v>#NUM!</v>
      </c>
      <c r="AA9" s="118" t="e">
        <f t="shared" si="7"/>
        <v>#NUM!</v>
      </c>
      <c r="AB9" s="117">
        <f t="shared" si="8"/>
        <v>0</v>
      </c>
      <c r="AC9" s="103">
        <f t="shared" si="9"/>
        <v>0</v>
      </c>
      <c r="AD9" s="103">
        <f t="shared" si="10"/>
        <v>0</v>
      </c>
      <c r="AE9" s="118">
        <f t="shared" si="11"/>
        <v>0</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21">
        <f t="shared" si="28"/>
        <v>-3.0317729808391938E-2</v>
      </c>
      <c r="AW9" s="21">
        <f t="shared" si="77"/>
        <v>0</v>
      </c>
      <c r="AX9" s="139">
        <f t="shared" si="29"/>
        <v>0</v>
      </c>
      <c r="AY9" s="140">
        <v>5</v>
      </c>
      <c r="AZ9" s="141">
        <f t="shared" si="30"/>
        <v>0</v>
      </c>
      <c r="BA9" s="19" t="e">
        <f t="shared" si="31"/>
        <v>#NUM!</v>
      </c>
      <c r="BB9" s="142" t="e">
        <f t="shared" si="32"/>
        <v>#NUM!</v>
      </c>
      <c r="BC9" s="19" t="e">
        <f t="shared" si="78"/>
        <v>#NUM!</v>
      </c>
      <c r="BD9" s="79" t="e">
        <f t="shared" si="33"/>
        <v>#NUM!</v>
      </c>
      <c r="BE9" s="144" t="e">
        <f t="shared" si="34"/>
        <v>#NUM!</v>
      </c>
      <c r="BF9" s="148" t="e">
        <f t="shared" si="35"/>
        <v>#NUM!</v>
      </c>
      <c r="BG9" s="144" t="e">
        <f t="shared" si="36"/>
        <v>#NUM!</v>
      </c>
      <c r="BH9" s="152" t="e">
        <f t="shared" si="37"/>
        <v>#NUM!</v>
      </c>
      <c r="BI9" s="28">
        <f t="shared" si="38"/>
        <v>0</v>
      </c>
      <c r="BJ9" s="29">
        <f t="shared" si="39"/>
        <v>0</v>
      </c>
      <c r="BK9" s="28">
        <f t="shared" si="40"/>
        <v>0</v>
      </c>
      <c r="BL9" s="29">
        <f t="shared" si="41"/>
        <v>0</v>
      </c>
      <c r="BM9" s="28">
        <f t="shared" si="42"/>
        <v>0</v>
      </c>
      <c r="BN9" s="29">
        <f t="shared" si="43"/>
        <v>0</v>
      </c>
      <c r="BO9" s="28">
        <f t="shared" si="44"/>
        <v>0</v>
      </c>
      <c r="BP9" s="29">
        <f t="shared" si="45"/>
        <v>0</v>
      </c>
      <c r="BQ9" s="150">
        <f t="shared" si="46"/>
        <v>0</v>
      </c>
      <c r="BR9" s="29">
        <f t="shared" si="47"/>
        <v>0</v>
      </c>
      <c r="BS9" s="91" t="e">
        <f t="shared" si="79"/>
        <v>#NUM!</v>
      </c>
      <c r="BT9" s="206" t="e">
        <f t="shared" si="80"/>
        <v>#NUM!</v>
      </c>
      <c r="BU9" s="206" t="e">
        <f t="shared" si="81"/>
        <v>#NUM!</v>
      </c>
      <c r="BV9" s="97" t="e">
        <f t="shared" si="82"/>
        <v>#NUM!</v>
      </c>
      <c r="BW9" s="123" t="e">
        <f t="shared" si="83"/>
        <v>#NUM!</v>
      </c>
      <c r="BX9" s="91">
        <f>(M9^2)*'Fly-Buck_Calc'!$B$80</f>
        <v>3.0297783933518004E-2</v>
      </c>
      <c r="BY9" s="92">
        <f t="shared" si="48"/>
        <v>5.0000000000000001E-3</v>
      </c>
      <c r="BZ9" s="92">
        <f t="shared" si="49"/>
        <v>0</v>
      </c>
      <c r="CA9" s="92">
        <f t="shared" si="50"/>
        <v>0</v>
      </c>
      <c r="CB9" s="92">
        <f t="shared" si="51"/>
        <v>0</v>
      </c>
      <c r="CC9" s="92">
        <f t="shared" si="52"/>
        <v>0</v>
      </c>
      <c r="CD9" s="92">
        <f t="shared" si="53"/>
        <v>0</v>
      </c>
      <c r="CE9" s="127">
        <f t="shared" si="84"/>
        <v>3.5297783933518005E-2</v>
      </c>
      <c r="CF9" s="91">
        <f t="shared" si="85"/>
        <v>0.12551939058171743</v>
      </c>
      <c r="CG9" s="92">
        <f t="shared" si="54"/>
        <v>2.5650000000000003E-2</v>
      </c>
      <c r="CH9" s="206">
        <f t="shared" si="55"/>
        <v>3.7500000000000003E-3</v>
      </c>
      <c r="CI9" s="92">
        <f t="shared" si="56"/>
        <v>6.8400000000000002E-2</v>
      </c>
      <c r="CJ9" s="93">
        <f t="shared" si="57"/>
        <v>0.09</v>
      </c>
      <c r="CK9" s="92">
        <f t="shared" si="58"/>
        <v>0.31331939058171743</v>
      </c>
      <c r="CL9" s="188">
        <f t="shared" si="59"/>
        <v>0.15</v>
      </c>
      <c r="CM9" s="206">
        <f t="shared" si="60"/>
        <v>0</v>
      </c>
      <c r="CN9" s="206">
        <f t="shared" si="61"/>
        <v>0</v>
      </c>
      <c r="CO9" s="206">
        <f t="shared" si="62"/>
        <v>0</v>
      </c>
      <c r="CP9" s="206">
        <f t="shared" si="63"/>
        <v>0</v>
      </c>
      <c r="CQ9" s="227">
        <f t="shared" si="64"/>
        <v>0</v>
      </c>
      <c r="CR9" s="231">
        <f t="shared" si="86"/>
        <v>0.15</v>
      </c>
      <c r="CS9" s="206">
        <f t="shared" si="65"/>
        <v>0.49861717451523546</v>
      </c>
      <c r="CT9" s="206">
        <f t="shared" si="66"/>
        <v>7.9986171745152355</v>
      </c>
      <c r="CU9" s="206">
        <f t="shared" si="67"/>
        <v>0.93766207787717326</v>
      </c>
      <c r="CV9">
        <f t="shared" si="68"/>
        <v>11.4</v>
      </c>
    </row>
    <row r="10" spans="1:100" ht="15" x14ac:dyDescent="0.25">
      <c r="A10" s="12" t="s">
        <v>286</v>
      </c>
      <c r="B10" s="19">
        <f>B9/Fsw</f>
        <v>8.3333333333333337E-6</v>
      </c>
      <c r="C10" s="12" t="s">
        <v>312</v>
      </c>
      <c r="K10">
        <v>6</v>
      </c>
      <c r="L10" s="91">
        <f t="shared" si="0"/>
        <v>12.48</v>
      </c>
      <c r="M10" s="93">
        <f t="shared" si="1"/>
        <v>0.60096153846153844</v>
      </c>
      <c r="N10" s="122">
        <f t="shared" si="69"/>
        <v>-3.739316239316238E-5</v>
      </c>
      <c r="O10" s="97">
        <f t="shared" si="70"/>
        <v>-3.3653846153846139E-5</v>
      </c>
      <c r="P10" s="123">
        <f t="shared" si="71"/>
        <v>-3.0594405594405581E-5</v>
      </c>
      <c r="Q10" s="127">
        <f t="shared" si="72"/>
        <v>1.2019230769230769</v>
      </c>
      <c r="R10" s="91">
        <f t="shared" si="73"/>
        <v>0.5</v>
      </c>
      <c r="S10" s="92">
        <f t="shared" si="2"/>
        <v>-0.16826923076923073</v>
      </c>
      <c r="T10" s="92">
        <f t="shared" si="74"/>
        <v>0.41586538461538464</v>
      </c>
      <c r="U10" s="92" t="e">
        <f t="shared" si="3"/>
        <v>#NUM!</v>
      </c>
      <c r="V10" s="93">
        <f t="shared" si="75"/>
        <v>0.55074200876519019</v>
      </c>
      <c r="W10" s="92" t="e">
        <f t="shared" si="76"/>
        <v>#NUM!</v>
      </c>
      <c r="X10" s="117">
        <f t="shared" si="4"/>
        <v>-2.4761904761904767</v>
      </c>
      <c r="Y10" s="103">
        <f t="shared" si="5"/>
        <v>-7.4786324786324784E-2</v>
      </c>
      <c r="Z10" s="103" t="e">
        <f t="shared" si="6"/>
        <v>#NUM!</v>
      </c>
      <c r="AA10" s="118" t="e">
        <f t="shared" si="7"/>
        <v>#NUM!</v>
      </c>
      <c r="AB10" s="117">
        <f t="shared" si="8"/>
        <v>0</v>
      </c>
      <c r="AC10" s="103">
        <f t="shared" si="9"/>
        <v>0</v>
      </c>
      <c r="AD10" s="103">
        <f t="shared" si="10"/>
        <v>0</v>
      </c>
      <c r="AE10" s="118">
        <f t="shared" si="11"/>
        <v>0</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21">
        <f t="shared" si="28"/>
        <v>-1.9385856079404462E-2</v>
      </c>
      <c r="AW10" s="21">
        <f t="shared" si="77"/>
        <v>0</v>
      </c>
      <c r="AX10" s="139">
        <f t="shared" si="29"/>
        <v>0</v>
      </c>
      <c r="AY10" s="140">
        <v>6</v>
      </c>
      <c r="AZ10" s="141">
        <f t="shared" si="30"/>
        <v>0</v>
      </c>
      <c r="BA10" s="19" t="e">
        <f t="shared" si="31"/>
        <v>#NUM!</v>
      </c>
      <c r="BB10" s="142" t="e">
        <f t="shared" si="32"/>
        <v>#NUM!</v>
      </c>
      <c r="BC10" s="19" t="e">
        <f t="shared" si="78"/>
        <v>#NUM!</v>
      </c>
      <c r="BD10" s="79" t="e">
        <f t="shared" si="33"/>
        <v>#NUM!</v>
      </c>
      <c r="BE10" s="144" t="e">
        <f t="shared" si="34"/>
        <v>#NUM!</v>
      </c>
      <c r="BF10" s="148" t="e">
        <f t="shared" si="35"/>
        <v>#NUM!</v>
      </c>
      <c r="BG10" s="144" t="e">
        <f t="shared" si="36"/>
        <v>#NUM!</v>
      </c>
      <c r="BH10" s="152" t="e">
        <f t="shared" si="37"/>
        <v>#NUM!</v>
      </c>
      <c r="BI10" s="28">
        <f t="shared" si="38"/>
        <v>0</v>
      </c>
      <c r="BJ10" s="29">
        <f t="shared" si="39"/>
        <v>0</v>
      </c>
      <c r="BK10" s="28">
        <f t="shared" si="40"/>
        <v>0</v>
      </c>
      <c r="BL10" s="29">
        <f t="shared" si="41"/>
        <v>0</v>
      </c>
      <c r="BM10" s="28">
        <f t="shared" si="42"/>
        <v>0</v>
      </c>
      <c r="BN10" s="29">
        <f t="shared" si="43"/>
        <v>0</v>
      </c>
      <c r="BO10" s="28">
        <f t="shared" si="44"/>
        <v>0</v>
      </c>
      <c r="BP10" s="29">
        <f t="shared" si="45"/>
        <v>0</v>
      </c>
      <c r="BQ10" s="150">
        <f t="shared" si="46"/>
        <v>0</v>
      </c>
      <c r="BR10" s="29">
        <f t="shared" si="47"/>
        <v>0</v>
      </c>
      <c r="BS10" s="91" t="e">
        <f t="shared" si="79"/>
        <v>#NUM!</v>
      </c>
      <c r="BT10" s="206" t="e">
        <f t="shared" si="80"/>
        <v>#NUM!</v>
      </c>
      <c r="BU10" s="206" t="e">
        <f t="shared" si="81"/>
        <v>#NUM!</v>
      </c>
      <c r="BV10" s="97" t="e">
        <f t="shared" si="82"/>
        <v>#NUM!</v>
      </c>
      <c r="BW10" s="123" t="e">
        <f t="shared" si="83"/>
        <v>#NUM!</v>
      </c>
      <c r="BX10" s="91">
        <f>(M10^2)*'Fly-Buck_Calc'!$B$80</f>
        <v>2.5280833949704141E-2</v>
      </c>
      <c r="BY10" s="92">
        <f t="shared" si="48"/>
        <v>5.0000000000000001E-3</v>
      </c>
      <c r="BZ10" s="92">
        <f t="shared" si="49"/>
        <v>0</v>
      </c>
      <c r="CA10" s="92">
        <f t="shared" si="50"/>
        <v>0</v>
      </c>
      <c r="CB10" s="92">
        <f t="shared" si="51"/>
        <v>0</v>
      </c>
      <c r="CC10" s="92">
        <f t="shared" si="52"/>
        <v>0</v>
      </c>
      <c r="CD10" s="92">
        <f t="shared" si="53"/>
        <v>0</v>
      </c>
      <c r="CE10" s="127">
        <f t="shared" si="84"/>
        <v>3.0280833949704142E-2</v>
      </c>
      <c r="CF10" s="91">
        <f t="shared" si="85"/>
        <v>0.10473488350591714</v>
      </c>
      <c r="CG10" s="92">
        <f t="shared" si="54"/>
        <v>2.8080000000000004E-2</v>
      </c>
      <c r="CH10" s="206">
        <f t="shared" si="55"/>
        <v>3.7500000000000003E-3</v>
      </c>
      <c r="CI10" s="92">
        <f t="shared" si="56"/>
        <v>7.4880000000000002E-2</v>
      </c>
      <c r="CJ10" s="93">
        <f t="shared" si="57"/>
        <v>0.09</v>
      </c>
      <c r="CK10" s="92">
        <f t="shared" si="58"/>
        <v>0.30144488350591714</v>
      </c>
      <c r="CL10" s="188">
        <f t="shared" si="59"/>
        <v>0.15</v>
      </c>
      <c r="CM10" s="206">
        <f t="shared" si="60"/>
        <v>0</v>
      </c>
      <c r="CN10" s="206">
        <f t="shared" si="61"/>
        <v>0</v>
      </c>
      <c r="CO10" s="206">
        <f t="shared" si="62"/>
        <v>0</v>
      </c>
      <c r="CP10" s="206">
        <f t="shared" si="63"/>
        <v>0</v>
      </c>
      <c r="CQ10" s="227">
        <f t="shared" si="64"/>
        <v>0</v>
      </c>
      <c r="CR10" s="231">
        <f t="shared" si="86"/>
        <v>0.15</v>
      </c>
      <c r="CS10" s="206">
        <f t="shared" si="65"/>
        <v>0.48172571745562132</v>
      </c>
      <c r="CT10" s="206">
        <f t="shared" si="66"/>
        <v>7.9817257174556211</v>
      </c>
      <c r="CU10" s="206">
        <f t="shared" si="67"/>
        <v>0.93964642052255543</v>
      </c>
      <c r="CV10">
        <f t="shared" si="68"/>
        <v>12.48</v>
      </c>
    </row>
    <row r="11" spans="1:100" ht="15" x14ac:dyDescent="0.25">
      <c r="A11" s="524" t="s">
        <v>282</v>
      </c>
      <c r="B11" s="524"/>
      <c r="C11" s="12"/>
      <c r="K11">
        <v>7</v>
      </c>
      <c r="L11" s="91">
        <f t="shared" si="0"/>
        <v>13.56</v>
      </c>
      <c r="M11" s="93">
        <f t="shared" si="1"/>
        <v>0.55309734513274333</v>
      </c>
      <c r="N11" s="122">
        <f t="shared" si="69"/>
        <v>-1.9665683382497532E-5</v>
      </c>
      <c r="O11" s="97">
        <f t="shared" si="70"/>
        <v>-1.7699115044247774E-5</v>
      </c>
      <c r="P11" s="123">
        <f t="shared" si="71"/>
        <v>-1.6090104585679794E-5</v>
      </c>
      <c r="Q11" s="127">
        <f t="shared" si="72"/>
        <v>1.1061946902654867</v>
      </c>
      <c r="R11" s="91">
        <f t="shared" si="73"/>
        <v>0.5</v>
      </c>
      <c r="S11" s="92">
        <f t="shared" si="2"/>
        <v>-8.8495575221238909E-2</v>
      </c>
      <c r="T11" s="92">
        <f t="shared" si="74"/>
        <v>0.45575221238938057</v>
      </c>
      <c r="U11" s="92" t="e">
        <f t="shared" si="3"/>
        <v>#NUM!</v>
      </c>
      <c r="V11" s="93">
        <f t="shared" si="75"/>
        <v>0.52656490560874281</v>
      </c>
      <c r="W11" s="92" t="e">
        <f t="shared" si="76"/>
        <v>#NUM!</v>
      </c>
      <c r="X11" s="117">
        <f t="shared" si="4"/>
        <v>-4.7083333333333357</v>
      </c>
      <c r="Y11" s="103">
        <f t="shared" si="5"/>
        <v>-3.9331366764995067E-2</v>
      </c>
      <c r="Z11" s="103" t="e">
        <f t="shared" si="6"/>
        <v>#NUM!</v>
      </c>
      <c r="AA11" s="118" t="e">
        <f t="shared" si="7"/>
        <v>#NUM!</v>
      </c>
      <c r="AB11" s="117">
        <f t="shared" si="8"/>
        <v>0</v>
      </c>
      <c r="AC11" s="103">
        <f t="shared" si="9"/>
        <v>0</v>
      </c>
      <c r="AD11" s="103">
        <f t="shared" si="10"/>
        <v>0</v>
      </c>
      <c r="AE11" s="118">
        <f t="shared" si="11"/>
        <v>0</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21">
        <f t="shared" si="28"/>
        <v>-1.0195342767423838E-2</v>
      </c>
      <c r="AW11" s="21">
        <f t="shared" si="77"/>
        <v>0</v>
      </c>
      <c r="AX11" s="139">
        <f t="shared" si="29"/>
        <v>0</v>
      </c>
      <c r="AY11" s="140">
        <v>7</v>
      </c>
      <c r="AZ11" s="141">
        <f t="shared" si="30"/>
        <v>0</v>
      </c>
      <c r="BA11" s="19" t="e">
        <f t="shared" si="31"/>
        <v>#NUM!</v>
      </c>
      <c r="BB11" s="142" t="e">
        <f t="shared" si="32"/>
        <v>#NUM!</v>
      </c>
      <c r="BC11" s="19" t="e">
        <f t="shared" si="78"/>
        <v>#NUM!</v>
      </c>
      <c r="BD11" s="79" t="e">
        <f t="shared" si="33"/>
        <v>#NUM!</v>
      </c>
      <c r="BE11" s="144" t="e">
        <f t="shared" si="34"/>
        <v>#NUM!</v>
      </c>
      <c r="BF11" s="148" t="e">
        <f t="shared" si="35"/>
        <v>#NUM!</v>
      </c>
      <c r="BG11" s="144" t="e">
        <f t="shared" si="36"/>
        <v>#NUM!</v>
      </c>
      <c r="BH11" s="152" t="e">
        <f t="shared" si="37"/>
        <v>#NUM!</v>
      </c>
      <c r="BI11" s="28">
        <f t="shared" si="38"/>
        <v>0</v>
      </c>
      <c r="BJ11" s="29">
        <f t="shared" si="39"/>
        <v>0</v>
      </c>
      <c r="BK11" s="28">
        <f t="shared" si="40"/>
        <v>0</v>
      </c>
      <c r="BL11" s="29">
        <f t="shared" si="41"/>
        <v>0</v>
      </c>
      <c r="BM11" s="28">
        <f t="shared" si="42"/>
        <v>0</v>
      </c>
      <c r="BN11" s="29">
        <f t="shared" si="43"/>
        <v>0</v>
      </c>
      <c r="BO11" s="28">
        <f t="shared" si="44"/>
        <v>0</v>
      </c>
      <c r="BP11" s="29">
        <f t="shared" si="45"/>
        <v>0</v>
      </c>
      <c r="BQ11" s="150">
        <f t="shared" si="46"/>
        <v>0</v>
      </c>
      <c r="BR11" s="29">
        <f t="shared" si="47"/>
        <v>0</v>
      </c>
      <c r="BS11" s="91" t="e">
        <f t="shared" si="79"/>
        <v>#NUM!</v>
      </c>
      <c r="BT11" s="206" t="e">
        <f t="shared" si="80"/>
        <v>#NUM!</v>
      </c>
      <c r="BU11" s="206" t="e">
        <f t="shared" si="81"/>
        <v>#NUM!</v>
      </c>
      <c r="BV11" s="97" t="e">
        <f t="shared" si="82"/>
        <v>#NUM!</v>
      </c>
      <c r="BW11" s="123" t="e">
        <f t="shared" si="83"/>
        <v>#NUM!</v>
      </c>
      <c r="BX11" s="91">
        <f>(M11^2)*'Fly-Buck_Calc'!$B$80</f>
        <v>2.1414167123502234E-2</v>
      </c>
      <c r="BY11" s="92">
        <f t="shared" si="48"/>
        <v>5.0000000000000001E-3</v>
      </c>
      <c r="BZ11" s="92">
        <f t="shared" si="49"/>
        <v>0</v>
      </c>
      <c r="CA11" s="92">
        <f t="shared" si="50"/>
        <v>0</v>
      </c>
      <c r="CB11" s="92">
        <f t="shared" si="51"/>
        <v>0</v>
      </c>
      <c r="CC11" s="92">
        <f t="shared" si="52"/>
        <v>0</v>
      </c>
      <c r="CD11" s="92">
        <f t="shared" si="53"/>
        <v>0</v>
      </c>
      <c r="CE11" s="127">
        <f t="shared" si="84"/>
        <v>2.6414167123502235E-2</v>
      </c>
      <c r="CF11" s="91">
        <f t="shared" si="85"/>
        <v>8.8715835225937803E-2</v>
      </c>
      <c r="CG11" s="92">
        <f t="shared" si="54"/>
        <v>3.0510000000000002E-2</v>
      </c>
      <c r="CH11" s="206">
        <f t="shared" si="55"/>
        <v>3.7500000000000003E-3</v>
      </c>
      <c r="CI11" s="92">
        <f t="shared" si="56"/>
        <v>8.1360000000000002E-2</v>
      </c>
      <c r="CJ11" s="93">
        <f t="shared" si="57"/>
        <v>0.09</v>
      </c>
      <c r="CK11" s="92">
        <f t="shared" si="58"/>
        <v>0.29433583522593776</v>
      </c>
      <c r="CL11" s="188">
        <f t="shared" si="59"/>
        <v>0.15</v>
      </c>
      <c r="CM11" s="206">
        <f t="shared" si="60"/>
        <v>0</v>
      </c>
      <c r="CN11" s="206">
        <f t="shared" si="61"/>
        <v>0</v>
      </c>
      <c r="CO11" s="206">
        <f t="shared" si="62"/>
        <v>0</v>
      </c>
      <c r="CP11" s="206">
        <f t="shared" si="63"/>
        <v>0</v>
      </c>
      <c r="CQ11" s="227">
        <f t="shared" si="64"/>
        <v>0</v>
      </c>
      <c r="CR11" s="231">
        <f t="shared" si="86"/>
        <v>0.15</v>
      </c>
      <c r="CS11" s="206">
        <f t="shared" si="65"/>
        <v>0.47075000234944003</v>
      </c>
      <c r="CT11" s="206">
        <f t="shared" si="66"/>
        <v>7.9707500023494404</v>
      </c>
      <c r="CU11" s="206">
        <f t="shared" si="67"/>
        <v>0.94094031274212797</v>
      </c>
      <c r="CV11">
        <f t="shared" si="68"/>
        <v>13.56</v>
      </c>
    </row>
    <row r="12" spans="1:100" ht="15" x14ac:dyDescent="0.25">
      <c r="A12" s="12" t="s">
        <v>298</v>
      </c>
      <c r="B12" s="12">
        <f>IF(AND(VoutPri_FB&gt;0,Vout1&lt;&gt;0),((ABS(Vout1)+Vdiode1)/ABS(VoutPri_FB))*Np,0)</f>
        <v>1.02</v>
      </c>
      <c r="C12" s="12"/>
      <c r="K12">
        <v>8</v>
      </c>
      <c r="L12" s="91">
        <f t="shared" si="0"/>
        <v>14.64</v>
      </c>
      <c r="M12" s="93">
        <f t="shared" si="1"/>
        <v>0.51229508196721307</v>
      </c>
      <c r="N12" s="122">
        <f t="shared" si="69"/>
        <v>-4.5537340619307671E-6</v>
      </c>
      <c r="O12" s="97">
        <f t="shared" si="70"/>
        <v>-4.09836065573769E-6</v>
      </c>
      <c r="P12" s="123">
        <f t="shared" si="71"/>
        <v>-3.7257824143069909E-6</v>
      </c>
      <c r="Q12" s="127">
        <f t="shared" si="72"/>
        <v>1.0245901639344261</v>
      </c>
      <c r="R12" s="91">
        <f t="shared" si="73"/>
        <v>0.5</v>
      </c>
      <c r="S12" s="92">
        <f t="shared" si="2"/>
        <v>-2.0491803278688492E-2</v>
      </c>
      <c r="T12" s="92">
        <f t="shared" si="74"/>
        <v>0.48975409836065575</v>
      </c>
      <c r="U12" s="92" t="e">
        <f t="shared" si="3"/>
        <v>#NUM!</v>
      </c>
      <c r="V12" s="93">
        <f t="shared" si="75"/>
        <v>0.50614562558278198</v>
      </c>
      <c r="W12" s="92" t="e">
        <f t="shared" si="76"/>
        <v>#NUM!</v>
      </c>
      <c r="X12" s="117">
        <f t="shared" si="4"/>
        <v>-20.333333333333403</v>
      </c>
      <c r="Y12" s="103">
        <f t="shared" si="5"/>
        <v>-9.1074681238615379E-3</v>
      </c>
      <c r="Z12" s="103" t="e">
        <f t="shared" si="6"/>
        <v>#NUM!</v>
      </c>
      <c r="AA12" s="118" t="e">
        <f t="shared" si="7"/>
        <v>#NUM!</v>
      </c>
      <c r="AB12" s="117">
        <f t="shared" si="8"/>
        <v>0</v>
      </c>
      <c r="AC12" s="103">
        <f t="shared" si="9"/>
        <v>0</v>
      </c>
      <c r="AD12" s="103">
        <f t="shared" si="10"/>
        <v>0</v>
      </c>
      <c r="AE12" s="118">
        <f t="shared" si="11"/>
        <v>0</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21">
        <f t="shared" si="28"/>
        <v>-2.3608068293419922E-3</v>
      </c>
      <c r="AW12" s="21">
        <f t="shared" si="77"/>
        <v>0</v>
      </c>
      <c r="AX12" s="139">
        <f t="shared" si="29"/>
        <v>0</v>
      </c>
      <c r="AY12" s="140">
        <v>8</v>
      </c>
      <c r="AZ12" s="141">
        <f t="shared" si="30"/>
        <v>0</v>
      </c>
      <c r="BA12" s="19" t="e">
        <f t="shared" si="31"/>
        <v>#NUM!</v>
      </c>
      <c r="BB12" s="142" t="e">
        <f t="shared" si="32"/>
        <v>#NUM!</v>
      </c>
      <c r="BC12" s="19" t="e">
        <f t="shared" si="78"/>
        <v>#NUM!</v>
      </c>
      <c r="BD12" s="79" t="e">
        <f t="shared" si="33"/>
        <v>#NUM!</v>
      </c>
      <c r="BE12" s="144" t="e">
        <f t="shared" si="34"/>
        <v>#NUM!</v>
      </c>
      <c r="BF12" s="148" t="e">
        <f t="shared" si="35"/>
        <v>#NUM!</v>
      </c>
      <c r="BG12" s="144" t="e">
        <f t="shared" si="36"/>
        <v>#NUM!</v>
      </c>
      <c r="BH12" s="152" t="e">
        <f t="shared" si="37"/>
        <v>#NUM!</v>
      </c>
      <c r="BI12" s="28">
        <f t="shared" si="38"/>
        <v>0</v>
      </c>
      <c r="BJ12" s="29">
        <f t="shared" si="39"/>
        <v>0</v>
      </c>
      <c r="BK12" s="28">
        <f t="shared" si="40"/>
        <v>0</v>
      </c>
      <c r="BL12" s="29">
        <f t="shared" si="41"/>
        <v>0</v>
      </c>
      <c r="BM12" s="28">
        <f t="shared" si="42"/>
        <v>0</v>
      </c>
      <c r="BN12" s="29">
        <f t="shared" si="43"/>
        <v>0</v>
      </c>
      <c r="BO12" s="28">
        <f t="shared" si="44"/>
        <v>0</v>
      </c>
      <c r="BP12" s="29">
        <f t="shared" si="45"/>
        <v>0</v>
      </c>
      <c r="BQ12" s="150">
        <f t="shared" si="46"/>
        <v>0</v>
      </c>
      <c r="BR12" s="29">
        <f t="shared" si="47"/>
        <v>0</v>
      </c>
      <c r="BS12" s="91" t="e">
        <f t="shared" si="79"/>
        <v>#NUM!</v>
      </c>
      <c r="BT12" s="206" t="e">
        <f t="shared" si="80"/>
        <v>#NUM!</v>
      </c>
      <c r="BU12" s="206" t="e">
        <f t="shared" si="81"/>
        <v>#NUM!</v>
      </c>
      <c r="BV12" s="97" t="e">
        <f t="shared" si="82"/>
        <v>#NUM!</v>
      </c>
      <c r="BW12" s="123" t="e">
        <f t="shared" si="83"/>
        <v>#NUM!</v>
      </c>
      <c r="BX12" s="91">
        <f>(M12^2)*'Fly-Buck_Calc'!$B$80</f>
        <v>1.837123757054555E-2</v>
      </c>
      <c r="BY12" s="92">
        <f t="shared" si="48"/>
        <v>5.0000000000000001E-3</v>
      </c>
      <c r="BZ12" s="92">
        <f t="shared" si="49"/>
        <v>0</v>
      </c>
      <c r="CA12" s="92">
        <f t="shared" si="50"/>
        <v>0</v>
      </c>
      <c r="CB12" s="92">
        <f t="shared" si="51"/>
        <v>0</v>
      </c>
      <c r="CC12" s="92">
        <f t="shared" si="52"/>
        <v>0</v>
      </c>
      <c r="CD12" s="92">
        <f t="shared" si="53"/>
        <v>0</v>
      </c>
      <c r="CE12" s="127">
        <f t="shared" si="84"/>
        <v>2.3371237570545551E-2</v>
      </c>
      <c r="CF12" s="91">
        <f t="shared" si="85"/>
        <v>7.6109412792260134E-2</v>
      </c>
      <c r="CG12" s="92">
        <f t="shared" si="54"/>
        <v>3.2940000000000004E-2</v>
      </c>
      <c r="CH12" s="206">
        <f t="shared" si="55"/>
        <v>3.7500000000000003E-3</v>
      </c>
      <c r="CI12" s="92">
        <f t="shared" si="56"/>
        <v>8.7840000000000001E-2</v>
      </c>
      <c r="CJ12" s="93">
        <f t="shared" si="57"/>
        <v>0.09</v>
      </c>
      <c r="CK12" s="92">
        <f t="shared" si="58"/>
        <v>0.29063941279226013</v>
      </c>
      <c r="CL12" s="188">
        <f t="shared" si="59"/>
        <v>0.15</v>
      </c>
      <c r="CM12" s="206">
        <f t="shared" si="60"/>
        <v>0</v>
      </c>
      <c r="CN12" s="206">
        <f t="shared" si="61"/>
        <v>0</v>
      </c>
      <c r="CO12" s="206">
        <f t="shared" si="62"/>
        <v>0</v>
      </c>
      <c r="CP12" s="206">
        <f t="shared" si="63"/>
        <v>0</v>
      </c>
      <c r="CQ12" s="227">
        <f t="shared" si="64"/>
        <v>0</v>
      </c>
      <c r="CR12" s="231">
        <f t="shared" si="86"/>
        <v>0.15</v>
      </c>
      <c r="CS12" s="206">
        <f t="shared" si="65"/>
        <v>0.4640106503628057</v>
      </c>
      <c r="CT12" s="206">
        <f t="shared" si="66"/>
        <v>7.9640106503628054</v>
      </c>
      <c r="CU12" s="206">
        <f t="shared" si="67"/>
        <v>0.94173656079406831</v>
      </c>
      <c r="CV12">
        <f t="shared" si="68"/>
        <v>14.64</v>
      </c>
    </row>
    <row r="13" spans="1:100" ht="15" x14ac:dyDescent="0.25">
      <c r="A13" s="12" t="s">
        <v>299</v>
      </c>
      <c r="B13" s="12">
        <f>IF(n1_FlyB_Calc&lt;&gt;0,n1_FlyB/Np,0)</f>
        <v>1.5</v>
      </c>
      <c r="C13" s="12"/>
      <c r="K13">
        <v>9</v>
      </c>
      <c r="L13" s="91">
        <f t="shared" si="0"/>
        <v>15.72</v>
      </c>
      <c r="M13" s="93">
        <f t="shared" si="1"/>
        <v>0.47709923664122134</v>
      </c>
      <c r="N13" s="122">
        <f t="shared" si="69"/>
        <v>8.4817642069550608E-6</v>
      </c>
      <c r="O13" s="97">
        <f t="shared" si="70"/>
        <v>7.6335877862595534E-6</v>
      </c>
      <c r="P13" s="123">
        <f t="shared" si="71"/>
        <v>6.9396252602359573E-6</v>
      </c>
      <c r="Q13" s="127">
        <f t="shared" si="72"/>
        <v>0.95419847328244267</v>
      </c>
      <c r="R13" s="91">
        <f t="shared" si="73"/>
        <v>0.5</v>
      </c>
      <c r="S13" s="92">
        <f t="shared" si="2"/>
        <v>3.8167938931297746E-2</v>
      </c>
      <c r="T13" s="92">
        <f t="shared" si="74"/>
        <v>0.51908396946564883</v>
      </c>
      <c r="U13" s="92">
        <f t="shared" si="3"/>
        <v>3.992995782713908</v>
      </c>
      <c r="V13" s="93">
        <f t="shared" si="75"/>
        <v>0.48853398791110486</v>
      </c>
      <c r="W13" s="92">
        <f t="shared" si="76"/>
        <v>0.10507985411434229</v>
      </c>
      <c r="X13" s="117">
        <f t="shared" si="4"/>
        <v>10.916666666666648</v>
      </c>
      <c r="Y13" s="103">
        <f t="shared" si="5"/>
        <v>1.6963528413910123E-2</v>
      </c>
      <c r="Z13" s="103">
        <f t="shared" si="6"/>
        <v>2.3363078632018688</v>
      </c>
      <c r="AA13" s="118">
        <f t="shared" si="7"/>
        <v>2.2821775635692507</v>
      </c>
      <c r="AB13" s="117">
        <f t="shared" si="8"/>
        <v>0</v>
      </c>
      <c r="AC13" s="103">
        <f t="shared" si="9"/>
        <v>0</v>
      </c>
      <c r="AD13" s="103">
        <f t="shared" si="10"/>
        <v>0</v>
      </c>
      <c r="AE13" s="118">
        <f t="shared" si="11"/>
        <v>0</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21">
        <f t="shared" si="28"/>
        <v>4.3972279874766986E-3</v>
      </c>
      <c r="AW13" s="21">
        <f t="shared" si="77"/>
        <v>0</v>
      </c>
      <c r="AX13" s="139">
        <f t="shared" si="29"/>
        <v>0</v>
      </c>
      <c r="AY13" s="140">
        <v>9</v>
      </c>
      <c r="AZ13" s="141">
        <f t="shared" si="30"/>
        <v>0</v>
      </c>
      <c r="BA13" s="19">
        <f t="shared" si="31"/>
        <v>0.11889255717521927</v>
      </c>
      <c r="BB13" s="142">
        <f t="shared" si="32"/>
        <v>4.3871353597655903E-5</v>
      </c>
      <c r="BC13" s="19">
        <f t="shared" si="78"/>
        <v>0.21076515904926096</v>
      </c>
      <c r="BD13" s="79">
        <f t="shared" si="33"/>
        <v>7.7772343689177297E-5</v>
      </c>
      <c r="BE13" s="144" t="e">
        <f t="shared" si="34"/>
        <v>#NUM!</v>
      </c>
      <c r="BF13" s="148" t="e">
        <f t="shared" si="35"/>
        <v>#NUM!</v>
      </c>
      <c r="BG13" s="144" t="e">
        <f t="shared" si="36"/>
        <v>#NUM!</v>
      </c>
      <c r="BH13" s="152" t="e">
        <f t="shared" si="37"/>
        <v>#NUM!</v>
      </c>
      <c r="BI13" s="28">
        <f t="shared" si="38"/>
        <v>0</v>
      </c>
      <c r="BJ13" s="29">
        <f t="shared" si="39"/>
        <v>0</v>
      </c>
      <c r="BK13" s="28">
        <f t="shared" si="40"/>
        <v>0</v>
      </c>
      <c r="BL13" s="29">
        <f t="shared" si="41"/>
        <v>0</v>
      </c>
      <c r="BM13" s="28">
        <f t="shared" si="42"/>
        <v>0</v>
      </c>
      <c r="BN13" s="29">
        <f t="shared" si="43"/>
        <v>0</v>
      </c>
      <c r="BO13" s="28">
        <f t="shared" si="44"/>
        <v>0</v>
      </c>
      <c r="BP13" s="29">
        <f t="shared" si="45"/>
        <v>0</v>
      </c>
      <c r="BQ13" s="150">
        <f t="shared" si="46"/>
        <v>0</v>
      </c>
      <c r="BR13" s="29">
        <f t="shared" si="47"/>
        <v>0</v>
      </c>
      <c r="BS13" s="91" t="e">
        <f t="shared" si="79"/>
        <v>#NUM!</v>
      </c>
      <c r="BT13" s="206" t="e">
        <f t="shared" si="80"/>
        <v>#NUM!</v>
      </c>
      <c r="BU13" s="206" t="e">
        <f t="shared" si="81"/>
        <v>#NUM!</v>
      </c>
      <c r="BV13" s="97" t="e">
        <f t="shared" si="82"/>
        <v>#NUM!</v>
      </c>
      <c r="BW13" s="123" t="e">
        <f t="shared" si="83"/>
        <v>#NUM!</v>
      </c>
      <c r="BX13" s="91">
        <f>(M13^2)*'Fly-Buck_Calc'!$B$80</f>
        <v>1.593365771225453E-2</v>
      </c>
      <c r="BY13" s="92">
        <f t="shared" si="48"/>
        <v>5.0000000000000001E-3</v>
      </c>
      <c r="BZ13" s="92">
        <f t="shared" si="49"/>
        <v>0</v>
      </c>
      <c r="CA13" s="92">
        <f t="shared" si="50"/>
        <v>0</v>
      </c>
      <c r="CB13" s="92">
        <f t="shared" si="51"/>
        <v>0</v>
      </c>
      <c r="CC13" s="92">
        <f t="shared" si="52"/>
        <v>0</v>
      </c>
      <c r="CD13" s="92">
        <f t="shared" si="53"/>
        <v>0</v>
      </c>
      <c r="CE13" s="127">
        <f t="shared" si="84"/>
        <v>2.0933657712254531E-2</v>
      </c>
      <c r="CF13" s="91">
        <f t="shared" si="85"/>
        <v>6.6010867665054471E-2</v>
      </c>
      <c r="CG13" s="92">
        <f t="shared" si="54"/>
        <v>3.5370000000000006E-2</v>
      </c>
      <c r="CH13" s="206">
        <f t="shared" si="55"/>
        <v>3.7500000000000003E-3</v>
      </c>
      <c r="CI13" s="92">
        <f t="shared" si="56"/>
        <v>9.4320000000000001E-2</v>
      </c>
      <c r="CJ13" s="93">
        <f t="shared" si="57"/>
        <v>0.09</v>
      </c>
      <c r="CK13" s="92">
        <f t="shared" si="58"/>
        <v>0.28945086766505446</v>
      </c>
      <c r="CL13" s="188">
        <f t="shared" si="59"/>
        <v>0.15</v>
      </c>
      <c r="CM13" s="206">
        <f t="shared" si="60"/>
        <v>0</v>
      </c>
      <c r="CN13" s="206">
        <f t="shared" si="61"/>
        <v>0</v>
      </c>
      <c r="CO13" s="206">
        <f t="shared" si="62"/>
        <v>0</v>
      </c>
      <c r="CP13" s="206">
        <f t="shared" si="63"/>
        <v>0</v>
      </c>
      <c r="CQ13" s="227">
        <f t="shared" si="64"/>
        <v>0</v>
      </c>
      <c r="CR13" s="231">
        <f t="shared" si="86"/>
        <v>0.15</v>
      </c>
      <c r="CS13" s="206">
        <f t="shared" si="65"/>
        <v>0.46038452537730901</v>
      </c>
      <c r="CT13" s="206">
        <f t="shared" si="66"/>
        <v>7.9603845253773091</v>
      </c>
      <c r="CU13" s="206">
        <f t="shared" si="67"/>
        <v>0.94216554188938662</v>
      </c>
      <c r="CV13">
        <f t="shared" si="68"/>
        <v>15.72</v>
      </c>
    </row>
    <row r="14" spans="1:100" ht="15" x14ac:dyDescent="0.25">
      <c r="A14" s="12" t="s">
        <v>300</v>
      </c>
      <c r="B14" s="12">
        <f>IF(AND(VoutPri_FB&gt;0,Vout2&lt;&gt;0),((ABS(Vout2)+Vdiode2)/ABS(VoutPri_FB))*Np,0)</f>
        <v>0</v>
      </c>
      <c r="C14" s="12"/>
      <c r="E14" s="1"/>
      <c r="K14">
        <v>10</v>
      </c>
      <c r="L14" s="91">
        <f t="shared" si="0"/>
        <v>16.8</v>
      </c>
      <c r="M14" s="93">
        <f t="shared" si="1"/>
        <v>0.4464285714285714</v>
      </c>
      <c r="N14" s="122">
        <f t="shared" si="69"/>
        <v>1.9841269841269851E-5</v>
      </c>
      <c r="O14" s="97">
        <f t="shared" si="70"/>
        <v>1.7857142857142865E-5</v>
      </c>
      <c r="P14" s="123">
        <f t="shared" si="71"/>
        <v>1.6233766233766241E-5</v>
      </c>
      <c r="Q14" s="127">
        <f t="shared" si="72"/>
        <v>0.89285714285714279</v>
      </c>
      <c r="R14" s="91">
        <f t="shared" si="73"/>
        <v>0.5</v>
      </c>
      <c r="S14" s="92">
        <f t="shared" si="2"/>
        <v>8.9285714285714315E-2</v>
      </c>
      <c r="T14" s="92">
        <f t="shared" si="74"/>
        <v>0.54464285714285721</v>
      </c>
      <c r="U14" s="92">
        <f t="shared" si="3"/>
        <v>2.7643776566899065</v>
      </c>
      <c r="V14" s="93">
        <f t="shared" si="75"/>
        <v>0.47308290596976432</v>
      </c>
      <c r="W14" s="92">
        <f t="shared" si="76"/>
        <v>0.15655339834395737</v>
      </c>
      <c r="X14" s="117">
        <f t="shared" si="4"/>
        <v>4.6666666666666643</v>
      </c>
      <c r="Y14" s="103">
        <f t="shared" si="5"/>
        <v>3.9682539682539715E-2</v>
      </c>
      <c r="Z14" s="103">
        <f t="shared" si="6"/>
        <v>1.5275298338134282</v>
      </c>
      <c r="AA14" s="118">
        <f t="shared" si="7"/>
        <v>1.4433805434430933</v>
      </c>
      <c r="AB14" s="117">
        <f t="shared" si="8"/>
        <v>0</v>
      </c>
      <c r="AC14" s="103">
        <f t="shared" si="9"/>
        <v>0</v>
      </c>
      <c r="AD14" s="103">
        <f t="shared" si="10"/>
        <v>0</v>
      </c>
      <c r="AE14" s="118">
        <f t="shared" si="11"/>
        <v>0</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21">
        <f t="shared" si="28"/>
        <v>1.0286372613561558E-2</v>
      </c>
      <c r="AW14" s="21">
        <f t="shared" si="77"/>
        <v>0</v>
      </c>
      <c r="AX14" s="139">
        <f t="shared" si="29"/>
        <v>0</v>
      </c>
      <c r="AY14" s="140">
        <v>10</v>
      </c>
      <c r="AZ14" s="141">
        <f t="shared" si="30"/>
        <v>0</v>
      </c>
      <c r="BA14" s="19">
        <f t="shared" si="31"/>
        <v>1.1400296920966082</v>
      </c>
      <c r="BB14" s="142">
        <f t="shared" si="32"/>
        <v>4.2067095638364843E-4</v>
      </c>
      <c r="BC14" s="19">
        <f t="shared" si="78"/>
        <v>1.7050756857829525</v>
      </c>
      <c r="BD14" s="79">
        <f t="shared" si="33"/>
        <v>6.2917292805390944E-4</v>
      </c>
      <c r="BE14" s="144" t="e">
        <f t="shared" si="34"/>
        <v>#NUM!</v>
      </c>
      <c r="BF14" s="148" t="e">
        <f t="shared" si="35"/>
        <v>#NUM!</v>
      </c>
      <c r="BG14" s="144" t="e">
        <f t="shared" si="36"/>
        <v>#NUM!</v>
      </c>
      <c r="BH14" s="152" t="e">
        <f t="shared" si="37"/>
        <v>#NUM!</v>
      </c>
      <c r="BI14" s="28">
        <f t="shared" si="38"/>
        <v>0</v>
      </c>
      <c r="BJ14" s="29">
        <f t="shared" si="39"/>
        <v>0</v>
      </c>
      <c r="BK14" s="28">
        <f t="shared" si="40"/>
        <v>0</v>
      </c>
      <c r="BL14" s="29">
        <f t="shared" si="41"/>
        <v>0</v>
      </c>
      <c r="BM14" s="28">
        <f t="shared" si="42"/>
        <v>0</v>
      </c>
      <c r="BN14" s="29">
        <f t="shared" si="43"/>
        <v>0</v>
      </c>
      <c r="BO14" s="28">
        <f t="shared" si="44"/>
        <v>0</v>
      </c>
      <c r="BP14" s="29">
        <f t="shared" si="45"/>
        <v>0</v>
      </c>
      <c r="BQ14" s="150">
        <f t="shared" si="46"/>
        <v>0</v>
      </c>
      <c r="BR14" s="29">
        <f t="shared" si="47"/>
        <v>0</v>
      </c>
      <c r="BS14" s="91" t="e">
        <f t="shared" si="79"/>
        <v>#NUM!</v>
      </c>
      <c r="BT14" s="206" t="e">
        <f t="shared" si="80"/>
        <v>#NUM!</v>
      </c>
      <c r="BU14" s="206" t="e">
        <f t="shared" si="81"/>
        <v>#NUM!</v>
      </c>
      <c r="BV14" s="97" t="e">
        <f t="shared" si="82"/>
        <v>#NUM!</v>
      </c>
      <c r="BW14" s="123" t="e">
        <f t="shared" si="83"/>
        <v>#NUM!</v>
      </c>
      <c r="BX14" s="91">
        <f>(M14^2)*'Fly-Buck_Calc'!$B$80</f>
        <v>1.3950892857142858E-2</v>
      </c>
      <c r="BY14" s="92">
        <f t="shared" si="48"/>
        <v>5.0000000000000001E-3</v>
      </c>
      <c r="BZ14" s="92">
        <f t="shared" si="49"/>
        <v>0</v>
      </c>
      <c r="CA14" s="92">
        <f t="shared" si="50"/>
        <v>0</v>
      </c>
      <c r="CB14" s="92">
        <f t="shared" si="51"/>
        <v>0</v>
      </c>
      <c r="CC14" s="92">
        <f t="shared" si="52"/>
        <v>0</v>
      </c>
      <c r="CD14" s="92">
        <f t="shared" si="53"/>
        <v>0</v>
      </c>
      <c r="CE14" s="127">
        <f t="shared" si="84"/>
        <v>1.8950892857142857E-2</v>
      </c>
      <c r="CF14" s="91">
        <f t="shared" si="85"/>
        <v>5.7796556122448974E-2</v>
      </c>
      <c r="CG14" s="92">
        <f t="shared" si="54"/>
        <v>3.7800000000000007E-2</v>
      </c>
      <c r="CH14" s="206">
        <f t="shared" si="55"/>
        <v>3.7500000000000003E-3</v>
      </c>
      <c r="CI14" s="92">
        <f t="shared" si="56"/>
        <v>0.1008</v>
      </c>
      <c r="CJ14" s="93">
        <f t="shared" si="57"/>
        <v>0.09</v>
      </c>
      <c r="CK14" s="92">
        <f t="shared" si="58"/>
        <v>0.290146556122449</v>
      </c>
      <c r="CL14" s="188">
        <f t="shared" si="59"/>
        <v>0.15</v>
      </c>
      <c r="CM14" s="206">
        <f t="shared" si="60"/>
        <v>0</v>
      </c>
      <c r="CN14" s="206">
        <f t="shared" si="61"/>
        <v>0</v>
      </c>
      <c r="CO14" s="206">
        <f t="shared" si="62"/>
        <v>0</v>
      </c>
      <c r="CP14" s="206">
        <f t="shared" si="63"/>
        <v>0</v>
      </c>
      <c r="CQ14" s="227">
        <f t="shared" si="64"/>
        <v>0</v>
      </c>
      <c r="CR14" s="231">
        <f t="shared" si="86"/>
        <v>0.15</v>
      </c>
      <c r="CS14" s="206">
        <f t="shared" si="65"/>
        <v>0.45909744897959187</v>
      </c>
      <c r="CT14" s="206">
        <f t="shared" si="66"/>
        <v>7.959097448979592</v>
      </c>
      <c r="CU14" s="206">
        <f t="shared" si="67"/>
        <v>0.94231790075161714</v>
      </c>
      <c r="CV14">
        <f t="shared" si="68"/>
        <v>16.8</v>
      </c>
    </row>
    <row r="15" spans="1:100" ht="15" x14ac:dyDescent="0.25">
      <c r="A15" s="12" t="s">
        <v>301</v>
      </c>
      <c r="B15" s="12">
        <f>IF(n2_FlyB_Calc&lt;&gt;0,n2_FlyB/Np,0)</f>
        <v>0</v>
      </c>
      <c r="C15" s="12"/>
      <c r="K15">
        <v>11</v>
      </c>
      <c r="L15" s="91">
        <f t="shared" si="0"/>
        <v>17.880000000000003</v>
      </c>
      <c r="M15" s="93">
        <f t="shared" si="1"/>
        <v>0.4194630872483221</v>
      </c>
      <c r="N15" s="122">
        <f t="shared" si="69"/>
        <v>2.9828486204325149E-5</v>
      </c>
      <c r="O15" s="97">
        <f t="shared" si="70"/>
        <v>2.6845637583892628E-5</v>
      </c>
      <c r="P15" s="123">
        <f t="shared" si="71"/>
        <v>2.4405125076266026E-5</v>
      </c>
      <c r="Q15" s="127">
        <f t="shared" si="72"/>
        <v>0.83892617449664419</v>
      </c>
      <c r="R15" s="91">
        <f t="shared" si="73"/>
        <v>0.5</v>
      </c>
      <c r="S15" s="92">
        <f t="shared" si="2"/>
        <v>0.1342281879194632</v>
      </c>
      <c r="T15" s="92">
        <f t="shared" si="74"/>
        <v>0.56711409395973156</v>
      </c>
      <c r="U15" s="92">
        <f t="shared" si="3"/>
        <v>2.3281060213065863</v>
      </c>
      <c r="V15" s="93">
        <f t="shared" si="75"/>
        <v>0.45933771431968279</v>
      </c>
      <c r="W15" s="92">
        <f t="shared" si="76"/>
        <v>0.18719469605877476</v>
      </c>
      <c r="X15" s="117">
        <f t="shared" si="4"/>
        <v>3.1041666666666647</v>
      </c>
      <c r="Y15" s="103">
        <f t="shared" si="5"/>
        <v>5.9656972408650304E-2</v>
      </c>
      <c r="Z15" s="103">
        <f t="shared" si="6"/>
        <v>1.2458455379912692</v>
      </c>
      <c r="AA15" s="118">
        <f t="shared" si="7"/>
        <v>1.141109593567925</v>
      </c>
      <c r="AB15" s="117">
        <f t="shared" si="8"/>
        <v>0</v>
      </c>
      <c r="AC15" s="103">
        <f t="shared" si="9"/>
        <v>0</v>
      </c>
      <c r="AD15" s="103">
        <f t="shared" si="10"/>
        <v>0</v>
      </c>
      <c r="AE15" s="118">
        <f t="shared" si="11"/>
        <v>0</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21">
        <f t="shared" si="28"/>
        <v>1.5464076949246912E-2</v>
      </c>
      <c r="AW15" s="21">
        <f t="shared" si="77"/>
        <v>0</v>
      </c>
      <c r="AX15" s="139">
        <f t="shared" si="29"/>
        <v>0</v>
      </c>
      <c r="AY15" s="140">
        <v>11</v>
      </c>
      <c r="AZ15" s="141">
        <f t="shared" si="30"/>
        <v>0</v>
      </c>
      <c r="BA15" s="19">
        <f t="shared" si="31"/>
        <v>3.3720997848434915</v>
      </c>
      <c r="BB15" s="142">
        <f t="shared" si="32"/>
        <v>1.2443048206072485E-3</v>
      </c>
      <c r="BC15" s="19">
        <f t="shared" si="78"/>
        <v>4.6485292310805102</v>
      </c>
      <c r="BD15" s="79">
        <f t="shared" si="33"/>
        <v>1.7153072862687083E-3</v>
      </c>
      <c r="BE15" s="144" t="e">
        <f t="shared" si="34"/>
        <v>#NUM!</v>
      </c>
      <c r="BF15" s="148" t="e">
        <f t="shared" si="35"/>
        <v>#NUM!</v>
      </c>
      <c r="BG15" s="144" t="e">
        <f t="shared" si="36"/>
        <v>#NUM!</v>
      </c>
      <c r="BH15" s="152" t="e">
        <f t="shared" si="37"/>
        <v>#NUM!</v>
      </c>
      <c r="BI15" s="28">
        <f t="shared" si="38"/>
        <v>0</v>
      </c>
      <c r="BJ15" s="29">
        <f t="shared" si="39"/>
        <v>0</v>
      </c>
      <c r="BK15" s="28">
        <f t="shared" si="40"/>
        <v>0</v>
      </c>
      <c r="BL15" s="29">
        <f t="shared" si="41"/>
        <v>0</v>
      </c>
      <c r="BM15" s="28">
        <f t="shared" si="42"/>
        <v>0</v>
      </c>
      <c r="BN15" s="29">
        <f t="shared" si="43"/>
        <v>0</v>
      </c>
      <c r="BO15" s="28">
        <f t="shared" si="44"/>
        <v>0</v>
      </c>
      <c r="BP15" s="29">
        <f t="shared" si="45"/>
        <v>0</v>
      </c>
      <c r="BQ15" s="150">
        <f t="shared" si="46"/>
        <v>0</v>
      </c>
      <c r="BR15" s="29">
        <f t="shared" si="47"/>
        <v>0</v>
      </c>
      <c r="BS15" s="91" t="e">
        <f t="shared" si="79"/>
        <v>#NUM!</v>
      </c>
      <c r="BT15" s="206" t="e">
        <f t="shared" si="80"/>
        <v>#NUM!</v>
      </c>
      <c r="BU15" s="206" t="e">
        <f t="shared" si="81"/>
        <v>#NUM!</v>
      </c>
      <c r="BV15" s="97" t="e">
        <f t="shared" si="82"/>
        <v>#NUM!</v>
      </c>
      <c r="BW15" s="123" t="e">
        <f t="shared" si="83"/>
        <v>#NUM!</v>
      </c>
      <c r="BX15" s="91">
        <f>(M15^2)*'Fly-Buck_Calc'!$B$80</f>
        <v>1.2316449709472545E-2</v>
      </c>
      <c r="BY15" s="92">
        <f t="shared" si="48"/>
        <v>5.0000000000000001E-3</v>
      </c>
      <c r="BZ15" s="92">
        <f t="shared" si="49"/>
        <v>0</v>
      </c>
      <c r="CA15" s="92">
        <f t="shared" si="50"/>
        <v>0</v>
      </c>
      <c r="CB15" s="92">
        <f t="shared" si="51"/>
        <v>0</v>
      </c>
      <c r="CC15" s="92">
        <f t="shared" si="52"/>
        <v>0</v>
      </c>
      <c r="CD15" s="92">
        <f t="shared" si="53"/>
        <v>0</v>
      </c>
      <c r="CE15" s="127">
        <f t="shared" si="84"/>
        <v>1.7316449709472544E-2</v>
      </c>
      <c r="CF15" s="91">
        <f t="shared" si="85"/>
        <v>5.1025291653529106E-2</v>
      </c>
      <c r="CG15" s="92">
        <f t="shared" si="54"/>
        <v>4.0230000000000009E-2</v>
      </c>
      <c r="CH15" s="206">
        <f t="shared" si="55"/>
        <v>3.7500000000000003E-3</v>
      </c>
      <c r="CI15" s="92">
        <f t="shared" si="56"/>
        <v>0.10728000000000001</v>
      </c>
      <c r="CJ15" s="93">
        <f t="shared" si="57"/>
        <v>0.09</v>
      </c>
      <c r="CK15" s="92">
        <f t="shared" si="58"/>
        <v>0.29228529165352912</v>
      </c>
      <c r="CL15" s="188">
        <f t="shared" si="59"/>
        <v>0.15</v>
      </c>
      <c r="CM15" s="206">
        <f t="shared" si="60"/>
        <v>0</v>
      </c>
      <c r="CN15" s="206">
        <f t="shared" si="61"/>
        <v>0</v>
      </c>
      <c r="CO15" s="206">
        <f t="shared" si="62"/>
        <v>0</v>
      </c>
      <c r="CP15" s="206">
        <f t="shared" si="63"/>
        <v>0</v>
      </c>
      <c r="CQ15" s="227">
        <f t="shared" si="64"/>
        <v>0</v>
      </c>
      <c r="CR15" s="231">
        <f t="shared" si="86"/>
        <v>0.15</v>
      </c>
      <c r="CS15" s="206">
        <f t="shared" si="65"/>
        <v>0.45960174136300169</v>
      </c>
      <c r="CT15" s="206">
        <f t="shared" si="66"/>
        <v>7.9596017413630014</v>
      </c>
      <c r="CU15" s="206">
        <f t="shared" si="67"/>
        <v>0.9422581988022557</v>
      </c>
      <c r="CV15">
        <f t="shared" si="68"/>
        <v>17.880000000000003</v>
      </c>
    </row>
    <row r="16" spans="1:100" ht="15" x14ac:dyDescent="0.25">
      <c r="A16" s="12" t="s">
        <v>302</v>
      </c>
      <c r="B16" s="12">
        <f>IF(AND(VoutPri_FB&gt;0,Vout3&lt;&gt;0),((ABS(Vout3)+Vdiode3)/ABS(VoutPri_FB))*Np,0)</f>
        <v>0</v>
      </c>
      <c r="C16" s="12"/>
      <c r="K16">
        <v>12</v>
      </c>
      <c r="L16" s="91">
        <f t="shared" si="0"/>
        <v>18.96</v>
      </c>
      <c r="M16" s="93">
        <f t="shared" si="1"/>
        <v>0.39556962025316456</v>
      </c>
      <c r="N16" s="122">
        <f t="shared" si="69"/>
        <v>3.8677918424753867E-5</v>
      </c>
      <c r="O16" s="97">
        <f t="shared" si="70"/>
        <v>3.4810126582278473E-5</v>
      </c>
      <c r="P16" s="123">
        <f t="shared" si="71"/>
        <v>3.164556962025316E-5</v>
      </c>
      <c r="Q16" s="127">
        <f t="shared" si="72"/>
        <v>0.79113924050632911</v>
      </c>
      <c r="R16" s="91">
        <f t="shared" si="73"/>
        <v>0.5</v>
      </c>
      <c r="S16" s="92">
        <f t="shared" si="2"/>
        <v>0.17405063291139244</v>
      </c>
      <c r="T16" s="92">
        <f t="shared" si="74"/>
        <v>0.58702531645569622</v>
      </c>
      <c r="U16" s="92">
        <f t="shared" si="3"/>
        <v>2.0881328659471015</v>
      </c>
      <c r="V16" s="93">
        <f t="shared" si="75"/>
        <v>0.44696981584018441</v>
      </c>
      <c r="W16" s="92">
        <f t="shared" si="76"/>
        <v>0.20810259922686108</v>
      </c>
      <c r="X16" s="117">
        <f t="shared" si="4"/>
        <v>2.393939393939394</v>
      </c>
      <c r="Y16" s="103">
        <f t="shared" si="5"/>
        <v>7.7355836849507739E-2</v>
      </c>
      <c r="Z16" s="103">
        <f t="shared" si="6"/>
        <v>1.0941087000712779</v>
      </c>
      <c r="AA16" s="118">
        <f t="shared" si="7"/>
        <v>0.97317719227880672</v>
      </c>
      <c r="AB16" s="117">
        <f t="shared" si="8"/>
        <v>0</v>
      </c>
      <c r="AC16" s="103">
        <f t="shared" si="9"/>
        <v>0</v>
      </c>
      <c r="AD16" s="103">
        <f t="shared" si="10"/>
        <v>0</v>
      </c>
      <c r="AE16" s="118">
        <f t="shared" si="11"/>
        <v>0</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21">
        <f t="shared" si="28"/>
        <v>2.0051916234031388E-2</v>
      </c>
      <c r="AW16" s="21">
        <f t="shared" si="77"/>
        <v>0</v>
      </c>
      <c r="AX16" s="139">
        <f t="shared" si="29"/>
        <v>0</v>
      </c>
      <c r="AY16" s="140">
        <v>12</v>
      </c>
      <c r="AZ16" s="141">
        <f t="shared" si="30"/>
        <v>0</v>
      </c>
      <c r="BA16" s="19">
        <f t="shared" si="31"/>
        <v>6.730281312929443</v>
      </c>
      <c r="BB16" s="142">
        <f t="shared" si="32"/>
        <v>2.4834738044709646E-3</v>
      </c>
      <c r="BC16" s="19">
        <f t="shared" si="78"/>
        <v>8.8080950008439522</v>
      </c>
      <c r="BD16" s="79">
        <f t="shared" si="33"/>
        <v>3.2501870553114185E-3</v>
      </c>
      <c r="BE16" s="144" t="e">
        <f t="shared" si="34"/>
        <v>#NUM!</v>
      </c>
      <c r="BF16" s="148" t="e">
        <f t="shared" si="35"/>
        <v>#NUM!</v>
      </c>
      <c r="BG16" s="144" t="e">
        <f t="shared" si="36"/>
        <v>#NUM!</v>
      </c>
      <c r="BH16" s="152" t="e">
        <f t="shared" si="37"/>
        <v>#NUM!</v>
      </c>
      <c r="BI16" s="28">
        <f t="shared" si="38"/>
        <v>0</v>
      </c>
      <c r="BJ16" s="29">
        <f t="shared" si="39"/>
        <v>0</v>
      </c>
      <c r="BK16" s="28">
        <f t="shared" si="40"/>
        <v>0</v>
      </c>
      <c r="BL16" s="29">
        <f t="shared" si="41"/>
        <v>0</v>
      </c>
      <c r="BM16" s="28">
        <f t="shared" si="42"/>
        <v>0</v>
      </c>
      <c r="BN16" s="29">
        <f t="shared" si="43"/>
        <v>0</v>
      </c>
      <c r="BO16" s="28">
        <f t="shared" si="44"/>
        <v>0</v>
      </c>
      <c r="BP16" s="29">
        <f t="shared" si="45"/>
        <v>0</v>
      </c>
      <c r="BQ16" s="150">
        <f t="shared" si="46"/>
        <v>0</v>
      </c>
      <c r="BR16" s="29">
        <f t="shared" si="47"/>
        <v>0</v>
      </c>
      <c r="BS16" s="91" t="e">
        <f t="shared" si="79"/>
        <v>#NUM!</v>
      </c>
      <c r="BT16" s="206" t="e">
        <f t="shared" si="80"/>
        <v>#NUM!</v>
      </c>
      <c r="BU16" s="206" t="e">
        <f t="shared" si="81"/>
        <v>#NUM!</v>
      </c>
      <c r="BV16" s="97" t="e">
        <f t="shared" si="82"/>
        <v>#NUM!</v>
      </c>
      <c r="BW16" s="123" t="e">
        <f t="shared" si="83"/>
        <v>#NUM!</v>
      </c>
      <c r="BX16" s="91">
        <f>(M16^2)*'Fly-Buck_Calc'!$B$80</f>
        <v>1.0953272712706297E-2</v>
      </c>
      <c r="BY16" s="92">
        <f t="shared" si="48"/>
        <v>5.0000000000000001E-3</v>
      </c>
      <c r="BZ16" s="92">
        <f t="shared" si="49"/>
        <v>0</v>
      </c>
      <c r="CA16" s="92">
        <f t="shared" si="50"/>
        <v>0</v>
      </c>
      <c r="CB16" s="92">
        <f t="shared" si="51"/>
        <v>0</v>
      </c>
      <c r="CC16" s="92">
        <f t="shared" si="52"/>
        <v>0</v>
      </c>
      <c r="CD16" s="92">
        <f t="shared" si="53"/>
        <v>0</v>
      </c>
      <c r="CE16" s="127">
        <f t="shared" si="84"/>
        <v>1.5953272712706298E-2</v>
      </c>
      <c r="CF16" s="91">
        <f t="shared" si="85"/>
        <v>4.5377844095497513E-2</v>
      </c>
      <c r="CG16" s="92">
        <f t="shared" si="54"/>
        <v>4.2660000000000003E-2</v>
      </c>
      <c r="CH16" s="206">
        <f t="shared" si="55"/>
        <v>3.7500000000000003E-3</v>
      </c>
      <c r="CI16" s="92">
        <f t="shared" si="56"/>
        <v>0.11376000000000001</v>
      </c>
      <c r="CJ16" s="93">
        <f t="shared" si="57"/>
        <v>0.09</v>
      </c>
      <c r="CK16" s="92">
        <f t="shared" si="58"/>
        <v>0.2955478440954975</v>
      </c>
      <c r="CL16" s="188">
        <f t="shared" si="59"/>
        <v>0.15</v>
      </c>
      <c r="CM16" s="206">
        <f t="shared" si="60"/>
        <v>0</v>
      </c>
      <c r="CN16" s="206">
        <f t="shared" si="61"/>
        <v>0</v>
      </c>
      <c r="CO16" s="206">
        <f t="shared" si="62"/>
        <v>0</v>
      </c>
      <c r="CP16" s="206">
        <f t="shared" si="63"/>
        <v>0</v>
      </c>
      <c r="CQ16" s="227">
        <f t="shared" si="64"/>
        <v>0</v>
      </c>
      <c r="CR16" s="231">
        <f t="shared" si="86"/>
        <v>0.15</v>
      </c>
      <c r="CS16" s="206">
        <f t="shared" si="65"/>
        <v>0.46150111680820383</v>
      </c>
      <c r="CT16" s="206">
        <f t="shared" si="66"/>
        <v>7.9615011168082042</v>
      </c>
      <c r="CU16" s="206">
        <f t="shared" si="67"/>
        <v>0.94203340424911963</v>
      </c>
      <c r="CV16">
        <f t="shared" si="68"/>
        <v>18.96</v>
      </c>
    </row>
    <row r="17" spans="1:100" ht="15" x14ac:dyDescent="0.25">
      <c r="A17" s="12" t="s">
        <v>303</v>
      </c>
      <c r="B17" s="12">
        <f>IF(n3_FlyB_Calc&lt;&gt;0,n3_FlyB/Np,0)</f>
        <v>0</v>
      </c>
      <c r="C17" s="12"/>
      <c r="K17">
        <v>13</v>
      </c>
      <c r="L17" s="91">
        <f t="shared" si="0"/>
        <v>20.04</v>
      </c>
      <c r="M17" s="93">
        <f t="shared" si="1"/>
        <v>0.37425149700598803</v>
      </c>
      <c r="N17" s="122">
        <f t="shared" si="69"/>
        <v>4.6573519627411835E-5</v>
      </c>
      <c r="O17" s="97">
        <f t="shared" si="70"/>
        <v>4.191616766467065E-5</v>
      </c>
      <c r="P17" s="123">
        <f t="shared" si="71"/>
        <v>3.810560696788241E-5</v>
      </c>
      <c r="Q17" s="127">
        <f t="shared" si="72"/>
        <v>0.74850299401197606</v>
      </c>
      <c r="R17" s="91">
        <f t="shared" si="73"/>
        <v>0.5</v>
      </c>
      <c r="S17" s="92">
        <f t="shared" si="2"/>
        <v>0.20958083832335325</v>
      </c>
      <c r="T17" s="92">
        <f t="shared" si="74"/>
        <v>0.60479041916167664</v>
      </c>
      <c r="U17" s="92">
        <f t="shared" si="3"/>
        <v>1.9314014485637281</v>
      </c>
      <c r="V17" s="93">
        <f t="shared" si="75"/>
        <v>0.43573561586488846</v>
      </c>
      <c r="W17" s="92">
        <f t="shared" si="76"/>
        <v>0.22316214715298513</v>
      </c>
      <c r="X17" s="117">
        <f t="shared" si="4"/>
        <v>1.9880952380952381</v>
      </c>
      <c r="Y17" s="103">
        <f t="shared" si="5"/>
        <v>9.3147039254823691E-2</v>
      </c>
      <c r="Z17" s="103">
        <f t="shared" si="6"/>
        <v>0.99711055513255975</v>
      </c>
      <c r="AA17" s="118">
        <f t="shared" si="7"/>
        <v>0.86268734727985985</v>
      </c>
      <c r="AB17" s="117">
        <f t="shared" si="8"/>
        <v>0</v>
      </c>
      <c r="AC17" s="103">
        <f t="shared" si="9"/>
        <v>0</v>
      </c>
      <c r="AD17" s="103">
        <f t="shared" si="10"/>
        <v>0</v>
      </c>
      <c r="AE17" s="118">
        <f t="shared" si="11"/>
        <v>0</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21">
        <f t="shared" si="28"/>
        <v>2.4145257871354062E-2</v>
      </c>
      <c r="AW17" s="21">
        <f t="shared" si="77"/>
        <v>0</v>
      </c>
      <c r="AX17" s="139">
        <f t="shared" si="29"/>
        <v>0</v>
      </c>
      <c r="AY17" s="140">
        <v>13</v>
      </c>
      <c r="AZ17" s="141">
        <f t="shared" si="30"/>
        <v>0</v>
      </c>
      <c r="BA17" s="19">
        <f t="shared" si="31"/>
        <v>11.031416644246535</v>
      </c>
      <c r="BB17" s="142">
        <f t="shared" si="32"/>
        <v>4.070592741726972E-3</v>
      </c>
      <c r="BC17" s="19">
        <f t="shared" si="78"/>
        <v>13.910568118852067</v>
      </c>
      <c r="BD17" s="79">
        <f t="shared" si="33"/>
        <v>5.1329996358564127E-3</v>
      </c>
      <c r="BE17" s="144" t="e">
        <f t="shared" si="34"/>
        <v>#NUM!</v>
      </c>
      <c r="BF17" s="148" t="e">
        <f t="shared" si="35"/>
        <v>#NUM!</v>
      </c>
      <c r="BG17" s="144" t="e">
        <f t="shared" si="36"/>
        <v>#NUM!</v>
      </c>
      <c r="BH17" s="152" t="e">
        <f t="shared" si="37"/>
        <v>#NUM!</v>
      </c>
      <c r="BI17" s="28">
        <f t="shared" si="38"/>
        <v>0</v>
      </c>
      <c r="BJ17" s="29">
        <f t="shared" si="39"/>
        <v>0</v>
      </c>
      <c r="BK17" s="28">
        <f t="shared" si="40"/>
        <v>0</v>
      </c>
      <c r="BL17" s="29">
        <f t="shared" si="41"/>
        <v>0</v>
      </c>
      <c r="BM17" s="28">
        <f t="shared" si="42"/>
        <v>0</v>
      </c>
      <c r="BN17" s="29">
        <f t="shared" si="43"/>
        <v>0</v>
      </c>
      <c r="BO17" s="28">
        <f t="shared" si="44"/>
        <v>0</v>
      </c>
      <c r="BP17" s="29">
        <f t="shared" si="45"/>
        <v>0</v>
      </c>
      <c r="BQ17" s="150">
        <f t="shared" si="46"/>
        <v>0</v>
      </c>
      <c r="BR17" s="29">
        <f t="shared" si="47"/>
        <v>0</v>
      </c>
      <c r="BS17" s="91" t="e">
        <f t="shared" si="79"/>
        <v>#NUM!</v>
      </c>
      <c r="BT17" s="206" t="e">
        <f t="shared" si="80"/>
        <v>#NUM!</v>
      </c>
      <c r="BU17" s="206" t="e">
        <f t="shared" si="81"/>
        <v>#NUM!</v>
      </c>
      <c r="BV17" s="97" t="e">
        <f t="shared" si="82"/>
        <v>#NUM!</v>
      </c>
      <c r="BW17" s="123" t="e">
        <f t="shared" si="83"/>
        <v>#NUM!</v>
      </c>
      <c r="BX17" s="91">
        <f>(M17^2)*'Fly-Buck_Calc'!$B$80</f>
        <v>9.8044928107856155E-3</v>
      </c>
      <c r="BY17" s="92">
        <f t="shared" si="48"/>
        <v>5.0000000000000001E-3</v>
      </c>
      <c r="BZ17" s="92">
        <f t="shared" si="49"/>
        <v>0</v>
      </c>
      <c r="CA17" s="92">
        <f t="shared" si="50"/>
        <v>0</v>
      </c>
      <c r="CB17" s="92">
        <f t="shared" si="51"/>
        <v>0</v>
      </c>
      <c r="CC17" s="92">
        <f t="shared" si="52"/>
        <v>0</v>
      </c>
      <c r="CD17" s="92">
        <f t="shared" si="53"/>
        <v>0</v>
      </c>
      <c r="CE17" s="127">
        <f t="shared" si="84"/>
        <v>1.4804492810785615E-2</v>
      </c>
      <c r="CF17" s="91">
        <f t="shared" si="85"/>
        <v>4.0618613073254685E-2</v>
      </c>
      <c r="CG17" s="92">
        <f t="shared" si="54"/>
        <v>4.5090000000000005E-2</v>
      </c>
      <c r="CH17" s="206">
        <f t="shared" si="55"/>
        <v>3.7500000000000003E-3</v>
      </c>
      <c r="CI17" s="92">
        <f t="shared" si="56"/>
        <v>0.12024</v>
      </c>
      <c r="CJ17" s="93">
        <f t="shared" si="57"/>
        <v>0.09</v>
      </c>
      <c r="CK17" s="92">
        <f t="shared" si="58"/>
        <v>0.29969861307325474</v>
      </c>
      <c r="CL17" s="188">
        <f t="shared" si="59"/>
        <v>0.15</v>
      </c>
      <c r="CM17" s="206">
        <f t="shared" si="60"/>
        <v>0</v>
      </c>
      <c r="CN17" s="206">
        <f t="shared" si="61"/>
        <v>0</v>
      </c>
      <c r="CO17" s="206">
        <f t="shared" si="62"/>
        <v>0</v>
      </c>
      <c r="CP17" s="206">
        <f t="shared" si="63"/>
        <v>0</v>
      </c>
      <c r="CQ17" s="227">
        <f t="shared" si="64"/>
        <v>0</v>
      </c>
      <c r="CR17" s="231">
        <f t="shared" si="86"/>
        <v>0.15</v>
      </c>
      <c r="CS17" s="206">
        <f t="shared" si="65"/>
        <v>0.46450310588404037</v>
      </c>
      <c r="CT17" s="206">
        <f t="shared" si="66"/>
        <v>7.9645031058840408</v>
      </c>
      <c r="CU17" s="206">
        <f t="shared" si="67"/>
        <v>0.9416783320053107</v>
      </c>
      <c r="CV17">
        <f t="shared" si="68"/>
        <v>20.04</v>
      </c>
    </row>
    <row r="18" spans="1:100" ht="15" x14ac:dyDescent="0.25">
      <c r="A18" s="12" t="s">
        <v>304</v>
      </c>
      <c r="B18" s="12">
        <f>IF(AND(VoutPri_FB&gt;0,Vout4&lt;&gt;0),((ABS(Vout4)+Vdiode4)/ABS(VoutPri_FB))*Np,0)</f>
        <v>0</v>
      </c>
      <c r="C18" s="12"/>
      <c r="K18">
        <v>14</v>
      </c>
      <c r="L18" s="91">
        <f t="shared" si="0"/>
        <v>21.12</v>
      </c>
      <c r="M18" s="93">
        <f t="shared" si="1"/>
        <v>0.35511363636363635</v>
      </c>
      <c r="N18" s="122">
        <f t="shared" si="69"/>
        <v>5.3661616161616162E-5</v>
      </c>
      <c r="O18" s="97">
        <f t="shared" si="70"/>
        <v>4.8295454545454537E-5</v>
      </c>
      <c r="P18" s="123">
        <f t="shared" si="71"/>
        <v>4.3904958677685947E-5</v>
      </c>
      <c r="Q18" s="127">
        <f t="shared" si="72"/>
        <v>0.71022727272727271</v>
      </c>
      <c r="R18" s="91">
        <f t="shared" si="73"/>
        <v>0.5</v>
      </c>
      <c r="S18" s="92">
        <f t="shared" si="2"/>
        <v>0.24147727272727279</v>
      </c>
      <c r="T18" s="92">
        <f t="shared" si="74"/>
        <v>0.62073863636363635</v>
      </c>
      <c r="U18" s="92">
        <f t="shared" si="3"/>
        <v>1.8189360174506359</v>
      </c>
      <c r="V18" s="93">
        <f t="shared" si="75"/>
        <v>0.42545035695004196</v>
      </c>
      <c r="W18" s="92">
        <f t="shared" si="76"/>
        <v>0.23431242284077294</v>
      </c>
      <c r="X18" s="117">
        <f t="shared" si="4"/>
        <v>1.7254901960784312</v>
      </c>
      <c r="Y18" s="103">
        <f t="shared" si="5"/>
        <v>0.10732323232323235</v>
      </c>
      <c r="Z18" s="103">
        <f t="shared" si="6"/>
        <v>0.92899044033372924</v>
      </c>
      <c r="AA18" s="118">
        <f t="shared" si="7"/>
        <v>0.78295800540735017</v>
      </c>
      <c r="AB18" s="117">
        <f t="shared" si="8"/>
        <v>0</v>
      </c>
      <c r="AC18" s="103">
        <f t="shared" si="9"/>
        <v>0</v>
      </c>
      <c r="AD18" s="103">
        <f t="shared" si="10"/>
        <v>0</v>
      </c>
      <c r="AE18" s="118">
        <f t="shared" si="11"/>
        <v>0</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21">
        <f t="shared" si="28"/>
        <v>2.781996229576875E-2</v>
      </c>
      <c r="AW18" s="21">
        <f t="shared" si="77"/>
        <v>0</v>
      </c>
      <c r="AX18" s="139">
        <f t="shared" si="29"/>
        <v>0</v>
      </c>
      <c r="AY18" s="140">
        <v>14</v>
      </c>
      <c r="AZ18" s="141">
        <f t="shared" si="30"/>
        <v>0</v>
      </c>
      <c r="BA18" s="19">
        <f t="shared" si="31"/>
        <v>16.080033920301659</v>
      </c>
      <c r="BB18" s="142">
        <f t="shared" si="32"/>
        <v>5.9335325165913123E-3</v>
      </c>
      <c r="BC18" s="19">
        <f t="shared" si="78"/>
        <v>19.710407462923605</v>
      </c>
      <c r="BD18" s="79">
        <f t="shared" si="33"/>
        <v>7.2731403538188102E-3</v>
      </c>
      <c r="BE18" s="144" t="e">
        <f t="shared" si="34"/>
        <v>#NUM!</v>
      </c>
      <c r="BF18" s="148" t="e">
        <f t="shared" si="35"/>
        <v>#NUM!</v>
      </c>
      <c r="BG18" s="144" t="e">
        <f t="shared" si="36"/>
        <v>#NUM!</v>
      </c>
      <c r="BH18" s="152" t="e">
        <f t="shared" si="37"/>
        <v>#NUM!</v>
      </c>
      <c r="BI18" s="28">
        <f t="shared" si="38"/>
        <v>0</v>
      </c>
      <c r="BJ18" s="29">
        <f t="shared" si="39"/>
        <v>0</v>
      </c>
      <c r="BK18" s="28">
        <f t="shared" si="40"/>
        <v>0</v>
      </c>
      <c r="BL18" s="29">
        <f t="shared" si="41"/>
        <v>0</v>
      </c>
      <c r="BM18" s="28">
        <f t="shared" si="42"/>
        <v>0</v>
      </c>
      <c r="BN18" s="29">
        <f t="shared" si="43"/>
        <v>0</v>
      </c>
      <c r="BO18" s="28">
        <f t="shared" si="44"/>
        <v>0</v>
      </c>
      <c r="BP18" s="29">
        <f t="shared" si="45"/>
        <v>0</v>
      </c>
      <c r="BQ18" s="150">
        <f t="shared" si="46"/>
        <v>0</v>
      </c>
      <c r="BR18" s="29">
        <f t="shared" si="47"/>
        <v>0</v>
      </c>
      <c r="BS18" s="91" t="e">
        <f t="shared" si="79"/>
        <v>#NUM!</v>
      </c>
      <c r="BT18" s="206" t="e">
        <f t="shared" si="80"/>
        <v>#NUM!</v>
      </c>
      <c r="BU18" s="206" t="e">
        <f t="shared" si="81"/>
        <v>#NUM!</v>
      </c>
      <c r="BV18" s="97" t="e">
        <f t="shared" si="82"/>
        <v>#NUM!</v>
      </c>
      <c r="BW18" s="123" t="e">
        <f t="shared" si="83"/>
        <v>#NUM!</v>
      </c>
      <c r="BX18" s="91">
        <f>(M18^2)*'Fly-Buck_Calc'!$B$80</f>
        <v>8.8273986311983473E-3</v>
      </c>
      <c r="BY18" s="92">
        <f t="shared" si="48"/>
        <v>5.0000000000000001E-3</v>
      </c>
      <c r="BZ18" s="92">
        <f t="shared" si="49"/>
        <v>0</v>
      </c>
      <c r="CA18" s="92">
        <f t="shared" si="50"/>
        <v>0</v>
      </c>
      <c r="CB18" s="92">
        <f t="shared" si="51"/>
        <v>0</v>
      </c>
      <c r="CC18" s="92">
        <f t="shared" si="52"/>
        <v>0</v>
      </c>
      <c r="CD18" s="92">
        <f t="shared" si="53"/>
        <v>0</v>
      </c>
      <c r="CE18" s="127">
        <f t="shared" si="84"/>
        <v>1.3827398631198348E-2</v>
      </c>
      <c r="CF18" s="91">
        <f t="shared" si="85"/>
        <v>3.6570651472107432E-2</v>
      </c>
      <c r="CG18" s="92">
        <f t="shared" si="54"/>
        <v>4.7520000000000007E-2</v>
      </c>
      <c r="CH18" s="206">
        <f t="shared" si="55"/>
        <v>3.7500000000000003E-3</v>
      </c>
      <c r="CI18" s="92">
        <f t="shared" si="56"/>
        <v>0.12672</v>
      </c>
      <c r="CJ18" s="93">
        <f t="shared" si="57"/>
        <v>0.09</v>
      </c>
      <c r="CK18" s="92">
        <f t="shared" si="58"/>
        <v>0.30456065147210742</v>
      </c>
      <c r="CL18" s="188">
        <f t="shared" si="59"/>
        <v>0.15</v>
      </c>
      <c r="CM18" s="206">
        <f t="shared" si="60"/>
        <v>0</v>
      </c>
      <c r="CN18" s="206">
        <f t="shared" si="61"/>
        <v>0</v>
      </c>
      <c r="CO18" s="206">
        <f t="shared" si="62"/>
        <v>0</v>
      </c>
      <c r="CP18" s="206">
        <f t="shared" si="63"/>
        <v>0</v>
      </c>
      <c r="CQ18" s="227">
        <f t="shared" si="64"/>
        <v>0</v>
      </c>
      <c r="CR18" s="231">
        <f t="shared" si="86"/>
        <v>0.15</v>
      </c>
      <c r="CS18" s="206">
        <f t="shared" si="65"/>
        <v>0.46838805010330581</v>
      </c>
      <c r="CT18" s="206">
        <f t="shared" si="66"/>
        <v>7.9683880501033055</v>
      </c>
      <c r="CU18" s="206">
        <f t="shared" si="67"/>
        <v>0.94121922186040707</v>
      </c>
      <c r="CV18">
        <f t="shared" si="68"/>
        <v>21.12</v>
      </c>
    </row>
    <row r="19" spans="1:100" ht="15" x14ac:dyDescent="0.25">
      <c r="A19" s="12" t="s">
        <v>305</v>
      </c>
      <c r="B19" s="12">
        <f>IF(n4_FlyB_Calc&lt;&gt;0,n4_FlyB/Np,0)</f>
        <v>0</v>
      </c>
      <c r="C19" s="12"/>
      <c r="K19">
        <v>15</v>
      </c>
      <c r="L19" s="91">
        <f t="shared" si="0"/>
        <v>22.200000000000003</v>
      </c>
      <c r="M19" s="93">
        <f t="shared" si="1"/>
        <v>0.33783783783783777</v>
      </c>
      <c r="N19" s="122">
        <f t="shared" si="69"/>
        <v>6.0060060060060079E-5</v>
      </c>
      <c r="O19" s="97">
        <f t="shared" si="70"/>
        <v>5.4054054054054067E-5</v>
      </c>
      <c r="P19" s="123">
        <f t="shared" si="71"/>
        <v>4.9140049140049154E-5</v>
      </c>
      <c r="Q19" s="127">
        <f t="shared" si="72"/>
        <v>0.67567567567567555</v>
      </c>
      <c r="R19" s="91">
        <f t="shared" si="73"/>
        <v>0.5</v>
      </c>
      <c r="S19" s="92">
        <f t="shared" si="2"/>
        <v>0.27027027027027034</v>
      </c>
      <c r="T19" s="92">
        <f t="shared" si="74"/>
        <v>0.6351351351351352</v>
      </c>
      <c r="U19" s="92">
        <f t="shared" si="3"/>
        <v>1.7332608018470022</v>
      </c>
      <c r="V19" s="93">
        <f t="shared" si="75"/>
        <v>0.41597099711246299</v>
      </c>
      <c r="W19" s="92">
        <f t="shared" si="76"/>
        <v>0.24268800086487902</v>
      </c>
      <c r="X19" s="117">
        <f t="shared" si="4"/>
        <v>1.5416666666666661</v>
      </c>
      <c r="Y19" s="103">
        <f t="shared" si="5"/>
        <v>0.12012012012012019</v>
      </c>
      <c r="Z19" s="103">
        <f t="shared" si="6"/>
        <v>0.87819320315635951</v>
      </c>
      <c r="AA19" s="118">
        <f t="shared" si="7"/>
        <v>0.72195796419876623</v>
      </c>
      <c r="AB19" s="117">
        <f t="shared" si="8"/>
        <v>0</v>
      </c>
      <c r="AC19" s="103">
        <f t="shared" si="9"/>
        <v>0</v>
      </c>
      <c r="AD19" s="103">
        <f t="shared" si="10"/>
        <v>0</v>
      </c>
      <c r="AE19" s="118">
        <f t="shared" si="11"/>
        <v>0</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21">
        <f t="shared" si="28"/>
        <v>3.1137127911321467E-2</v>
      </c>
      <c r="AW19" s="21">
        <f t="shared" si="77"/>
        <v>0</v>
      </c>
      <c r="AX19" s="139">
        <f t="shared" si="29"/>
        <v>0</v>
      </c>
      <c r="AY19" s="140">
        <v>15</v>
      </c>
      <c r="AZ19" s="141">
        <f t="shared" si="30"/>
        <v>0</v>
      </c>
      <c r="BA19" s="19">
        <f t="shared" si="31"/>
        <v>21.697990612949351</v>
      </c>
      <c r="BB19" s="142">
        <f t="shared" si="32"/>
        <v>8.0065585361783105E-3</v>
      </c>
      <c r="BC19" s="19">
        <f t="shared" si="78"/>
        <v>26.004215474657727</v>
      </c>
      <c r="BD19" s="79">
        <f t="shared" si="33"/>
        <v>9.5955555101487015E-3</v>
      </c>
      <c r="BE19" s="144" t="e">
        <f t="shared" si="34"/>
        <v>#NUM!</v>
      </c>
      <c r="BF19" s="148" t="e">
        <f t="shared" si="35"/>
        <v>#NUM!</v>
      </c>
      <c r="BG19" s="144" t="e">
        <f t="shared" si="36"/>
        <v>#NUM!</v>
      </c>
      <c r="BH19" s="152" t="e">
        <f t="shared" si="37"/>
        <v>#NUM!</v>
      </c>
      <c r="BI19" s="28">
        <f t="shared" si="38"/>
        <v>0</v>
      </c>
      <c r="BJ19" s="29">
        <f t="shared" si="39"/>
        <v>0</v>
      </c>
      <c r="BK19" s="28">
        <f t="shared" si="40"/>
        <v>0</v>
      </c>
      <c r="BL19" s="29">
        <f t="shared" si="41"/>
        <v>0</v>
      </c>
      <c r="BM19" s="28">
        <f t="shared" si="42"/>
        <v>0</v>
      </c>
      <c r="BN19" s="29">
        <f t="shared" si="43"/>
        <v>0</v>
      </c>
      <c r="BO19" s="28">
        <f t="shared" si="44"/>
        <v>0</v>
      </c>
      <c r="BP19" s="29">
        <f t="shared" si="45"/>
        <v>0</v>
      </c>
      <c r="BQ19" s="150">
        <f t="shared" si="46"/>
        <v>0</v>
      </c>
      <c r="BR19" s="29">
        <f t="shared" si="47"/>
        <v>0</v>
      </c>
      <c r="BS19" s="91" t="e">
        <f t="shared" si="79"/>
        <v>#NUM!</v>
      </c>
      <c r="BT19" s="206" t="e">
        <f t="shared" si="80"/>
        <v>#NUM!</v>
      </c>
      <c r="BU19" s="206" t="e">
        <f t="shared" si="81"/>
        <v>#NUM!</v>
      </c>
      <c r="BV19" s="97" t="e">
        <f t="shared" si="82"/>
        <v>#NUM!</v>
      </c>
      <c r="BW19" s="123" t="e">
        <f t="shared" si="83"/>
        <v>#NUM!</v>
      </c>
      <c r="BX19" s="91">
        <f>(M19^2)*'Fly-Buck_Calc'!$B$80</f>
        <v>7.9894083272461624E-3</v>
      </c>
      <c r="BY19" s="92">
        <f t="shared" si="48"/>
        <v>5.0000000000000001E-3</v>
      </c>
      <c r="BZ19" s="92">
        <f t="shared" si="49"/>
        <v>0</v>
      </c>
      <c r="CA19" s="92">
        <f t="shared" si="50"/>
        <v>0</v>
      </c>
      <c r="CB19" s="92">
        <f t="shared" si="51"/>
        <v>0</v>
      </c>
      <c r="CC19" s="92">
        <f t="shared" si="52"/>
        <v>0</v>
      </c>
      <c r="CD19" s="92">
        <f t="shared" si="53"/>
        <v>0</v>
      </c>
      <c r="CE19" s="127">
        <f t="shared" si="84"/>
        <v>1.2989408327246162E-2</v>
      </c>
      <c r="CF19" s="91">
        <f t="shared" si="85"/>
        <v>3.3098977355734097E-2</v>
      </c>
      <c r="CG19" s="92">
        <f t="shared" si="54"/>
        <v>4.9950000000000015E-2</v>
      </c>
      <c r="CH19" s="206">
        <f t="shared" si="55"/>
        <v>3.7500000000000003E-3</v>
      </c>
      <c r="CI19" s="92">
        <f t="shared" si="56"/>
        <v>0.13320000000000001</v>
      </c>
      <c r="CJ19" s="93">
        <f t="shared" si="57"/>
        <v>0.09</v>
      </c>
      <c r="CK19" s="92">
        <f t="shared" si="58"/>
        <v>0.30999897735573412</v>
      </c>
      <c r="CL19" s="188">
        <f t="shared" si="59"/>
        <v>0.15</v>
      </c>
      <c r="CM19" s="206">
        <f t="shared" si="60"/>
        <v>0</v>
      </c>
      <c r="CN19" s="206">
        <f t="shared" si="61"/>
        <v>0</v>
      </c>
      <c r="CO19" s="206">
        <f t="shared" si="62"/>
        <v>0</v>
      </c>
      <c r="CP19" s="206">
        <f t="shared" si="63"/>
        <v>0</v>
      </c>
      <c r="CQ19" s="227">
        <f t="shared" si="64"/>
        <v>0</v>
      </c>
      <c r="CR19" s="231">
        <f t="shared" si="86"/>
        <v>0.15</v>
      </c>
      <c r="CS19" s="206">
        <f t="shared" si="65"/>
        <v>0.47298838568298029</v>
      </c>
      <c r="CT19" s="206">
        <f t="shared" si="66"/>
        <v>7.9729883856829806</v>
      </c>
      <c r="CU19" s="206">
        <f t="shared" si="67"/>
        <v>0.94067614766223395</v>
      </c>
      <c r="CV19">
        <f t="shared" si="68"/>
        <v>22.200000000000003</v>
      </c>
    </row>
    <row r="20" spans="1:100" ht="15" x14ac:dyDescent="0.25">
      <c r="A20" s="12" t="s">
        <v>306</v>
      </c>
      <c r="B20" s="12">
        <f>IF(AND(VoutPri_FB&gt;0,Vout5&lt;&gt;0),((ABS(Vout5)+Vdiode5)/ABS(VoutPri_FB))*Np,0)</f>
        <v>0</v>
      </c>
      <c r="C20" s="12"/>
      <c r="K20">
        <v>16</v>
      </c>
      <c r="L20" s="91">
        <f t="shared" si="0"/>
        <v>23.28</v>
      </c>
      <c r="M20" s="93">
        <f t="shared" si="1"/>
        <v>0.32216494845360821</v>
      </c>
      <c r="N20" s="122">
        <f t="shared" si="69"/>
        <v>6.5864833906071032E-5</v>
      </c>
      <c r="O20" s="97">
        <f t="shared" si="70"/>
        <v>5.9278350515463914E-5</v>
      </c>
      <c r="P20" s="123">
        <f t="shared" si="71"/>
        <v>5.3889409559512652E-5</v>
      </c>
      <c r="Q20" s="127">
        <f t="shared" si="72"/>
        <v>0.64432989690721643</v>
      </c>
      <c r="R20" s="91">
        <f t="shared" si="73"/>
        <v>0.5</v>
      </c>
      <c r="S20" s="92">
        <f t="shared" si="2"/>
        <v>0.29639175257731964</v>
      </c>
      <c r="T20" s="92">
        <f t="shared" si="74"/>
        <v>0.64819587628865982</v>
      </c>
      <c r="U20" s="92">
        <f t="shared" si="3"/>
        <v>1.6652304179451756</v>
      </c>
      <c r="V20" s="93">
        <f t="shared" si="75"/>
        <v>0.40718472765747515</v>
      </c>
      <c r="W20" s="92">
        <f t="shared" si="76"/>
        <v>0.24901636176238737</v>
      </c>
      <c r="X20" s="117">
        <f t="shared" si="4"/>
        <v>1.4057971014492752</v>
      </c>
      <c r="Y20" s="103">
        <f t="shared" si="5"/>
        <v>0.13172966781214207</v>
      </c>
      <c r="Z20" s="103">
        <f t="shared" si="6"/>
        <v>0.83869712685846698</v>
      </c>
      <c r="AA20" s="118">
        <f t="shared" si="7"/>
        <v>0.67335939185597427</v>
      </c>
      <c r="AB20" s="117">
        <f t="shared" si="8"/>
        <v>0</v>
      </c>
      <c r="AC20" s="103">
        <f t="shared" si="9"/>
        <v>0</v>
      </c>
      <c r="AD20" s="103">
        <f t="shared" si="10"/>
        <v>0</v>
      </c>
      <c r="AE20" s="118">
        <f t="shared" si="11"/>
        <v>0</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21">
        <f t="shared" si="28"/>
        <v>3.414651527388475E-2</v>
      </c>
      <c r="AW20" s="21">
        <f t="shared" si="77"/>
        <v>0</v>
      </c>
      <c r="AX20" s="139">
        <f t="shared" si="29"/>
        <v>0</v>
      </c>
      <c r="AY20" s="140">
        <v>16</v>
      </c>
      <c r="AZ20" s="141">
        <f t="shared" si="30"/>
        <v>0</v>
      </c>
      <c r="BA20" s="19">
        <f t="shared" si="31"/>
        <v>27.73319901935233</v>
      </c>
      <c r="BB20" s="142">
        <f t="shared" si="32"/>
        <v>1.0233550438141009E-2</v>
      </c>
      <c r="BC20" s="19">
        <f t="shared" si="78"/>
        <v>32.629516575593726</v>
      </c>
      <c r="BD20" s="79">
        <f t="shared" si="33"/>
        <v>1.2040291616394085E-2</v>
      </c>
      <c r="BE20" s="144" t="e">
        <f t="shared" si="34"/>
        <v>#NUM!</v>
      </c>
      <c r="BF20" s="148" t="e">
        <f t="shared" si="35"/>
        <v>#NUM!</v>
      </c>
      <c r="BG20" s="144" t="e">
        <f t="shared" si="36"/>
        <v>#NUM!</v>
      </c>
      <c r="BH20" s="152" t="e">
        <f t="shared" si="37"/>
        <v>#NUM!</v>
      </c>
      <c r="BI20" s="28">
        <f t="shared" si="38"/>
        <v>0</v>
      </c>
      <c r="BJ20" s="29">
        <f t="shared" si="39"/>
        <v>0</v>
      </c>
      <c r="BK20" s="28">
        <f t="shared" si="40"/>
        <v>0</v>
      </c>
      <c r="BL20" s="29">
        <f t="shared" si="41"/>
        <v>0</v>
      </c>
      <c r="BM20" s="28">
        <f t="shared" si="42"/>
        <v>0</v>
      </c>
      <c r="BN20" s="29">
        <f t="shared" si="43"/>
        <v>0</v>
      </c>
      <c r="BO20" s="28">
        <f t="shared" si="44"/>
        <v>0</v>
      </c>
      <c r="BP20" s="29">
        <f t="shared" si="45"/>
        <v>0</v>
      </c>
      <c r="BQ20" s="150">
        <f t="shared" si="46"/>
        <v>0</v>
      </c>
      <c r="BR20" s="29">
        <f t="shared" si="47"/>
        <v>0</v>
      </c>
      <c r="BS20" s="91" t="e">
        <f t="shared" si="79"/>
        <v>#NUM!</v>
      </c>
      <c r="BT20" s="206" t="e">
        <f t="shared" si="80"/>
        <v>#NUM!</v>
      </c>
      <c r="BU20" s="206" t="e">
        <f t="shared" si="81"/>
        <v>#NUM!</v>
      </c>
      <c r="BV20" s="97" t="e">
        <f t="shared" si="82"/>
        <v>#NUM!</v>
      </c>
      <c r="BW20" s="123" t="e">
        <f t="shared" si="83"/>
        <v>#NUM!</v>
      </c>
      <c r="BX20" s="91">
        <f>(M20^2)*'Fly-Buck_Calc'!$B$80</f>
        <v>7.2653177808481234E-3</v>
      </c>
      <c r="BY20" s="92">
        <f t="shared" si="48"/>
        <v>5.0000000000000001E-3</v>
      </c>
      <c r="BZ20" s="92">
        <f t="shared" si="49"/>
        <v>0</v>
      </c>
      <c r="CA20" s="92">
        <f t="shared" si="50"/>
        <v>0</v>
      </c>
      <c r="CB20" s="92">
        <f t="shared" si="51"/>
        <v>0</v>
      </c>
      <c r="CC20" s="92">
        <f t="shared" si="52"/>
        <v>0</v>
      </c>
      <c r="CD20" s="92">
        <f t="shared" si="53"/>
        <v>0</v>
      </c>
      <c r="CE20" s="127">
        <f t="shared" si="84"/>
        <v>1.2265317780848124E-2</v>
      </c>
      <c r="CF20" s="91">
        <f t="shared" si="85"/>
        <v>3.009917366351365E-2</v>
      </c>
      <c r="CG20" s="92">
        <f t="shared" si="54"/>
        <v>5.238000000000001E-2</v>
      </c>
      <c r="CH20" s="206">
        <f t="shared" si="55"/>
        <v>3.7500000000000003E-3</v>
      </c>
      <c r="CI20" s="92">
        <f t="shared" si="56"/>
        <v>0.13968</v>
      </c>
      <c r="CJ20" s="93">
        <f t="shared" si="57"/>
        <v>0.09</v>
      </c>
      <c r="CK20" s="92">
        <f t="shared" si="58"/>
        <v>0.31590917366351368</v>
      </c>
      <c r="CL20" s="188">
        <f t="shared" si="59"/>
        <v>0.15</v>
      </c>
      <c r="CM20" s="206">
        <f t="shared" si="60"/>
        <v>0</v>
      </c>
      <c r="CN20" s="206">
        <f t="shared" si="61"/>
        <v>0</v>
      </c>
      <c r="CO20" s="206">
        <f t="shared" si="62"/>
        <v>0</v>
      </c>
      <c r="CP20" s="206">
        <f t="shared" si="63"/>
        <v>0</v>
      </c>
      <c r="CQ20" s="227">
        <f t="shared" si="64"/>
        <v>0</v>
      </c>
      <c r="CR20" s="231">
        <f t="shared" si="86"/>
        <v>0.15</v>
      </c>
      <c r="CS20" s="206">
        <f t="shared" si="65"/>
        <v>0.4781744914443618</v>
      </c>
      <c r="CT20" s="206">
        <f t="shared" si="66"/>
        <v>7.9781744914443617</v>
      </c>
      <c r="CU20" s="206">
        <f t="shared" si="67"/>
        <v>0.94006467369732927</v>
      </c>
      <c r="CV20">
        <f t="shared" si="68"/>
        <v>23.28</v>
      </c>
    </row>
    <row r="21" spans="1:100" ht="15" x14ac:dyDescent="0.25">
      <c r="A21" s="12" t="s">
        <v>307</v>
      </c>
      <c r="B21" s="12">
        <f>IF(n5_FlyB_Calc&lt;&gt;0,n5_FlyB/Np,0)</f>
        <v>0</v>
      </c>
      <c r="C21" s="12"/>
      <c r="K21">
        <v>17</v>
      </c>
      <c r="L21" s="91">
        <f t="shared" si="0"/>
        <v>24.36</v>
      </c>
      <c r="M21" s="93">
        <f t="shared" si="1"/>
        <v>0.30788177339901479</v>
      </c>
      <c r="N21" s="122">
        <f t="shared" si="69"/>
        <v>7.1154898741105629E-5</v>
      </c>
      <c r="O21" s="97">
        <f t="shared" si="70"/>
        <v>6.4039408866995058E-5</v>
      </c>
      <c r="P21" s="123">
        <f t="shared" si="71"/>
        <v>5.821764442454096E-5</v>
      </c>
      <c r="Q21" s="127">
        <f t="shared" si="72"/>
        <v>0.61576354679802958</v>
      </c>
      <c r="R21" s="91">
        <f t="shared" si="73"/>
        <v>0.5</v>
      </c>
      <c r="S21" s="92">
        <f t="shared" si="2"/>
        <v>0.32019704433497537</v>
      </c>
      <c r="T21" s="92">
        <f t="shared" si="74"/>
        <v>0.66009852216748766</v>
      </c>
      <c r="U21" s="92">
        <f t="shared" si="3"/>
        <v>1.6095387276015451</v>
      </c>
      <c r="V21" s="93">
        <f t="shared" si="75"/>
        <v>0.39900109695275515</v>
      </c>
      <c r="W21" s="92">
        <f t="shared" si="76"/>
        <v>0.25379261017251786</v>
      </c>
      <c r="X21" s="117">
        <f t="shared" si="4"/>
        <v>1.3012820512820513</v>
      </c>
      <c r="Y21" s="103">
        <f t="shared" si="5"/>
        <v>0.14230979748221129</v>
      </c>
      <c r="Z21" s="103">
        <f t="shared" si="6"/>
        <v>0.80702508709919329</v>
      </c>
      <c r="AA21" s="118">
        <f t="shared" si="7"/>
        <v>0.63347414407176916</v>
      </c>
      <c r="AB21" s="117">
        <f t="shared" si="8"/>
        <v>0</v>
      </c>
      <c r="AC21" s="103">
        <f t="shared" si="9"/>
        <v>0</v>
      </c>
      <c r="AD21" s="103">
        <f t="shared" si="10"/>
        <v>0</v>
      </c>
      <c r="AE21" s="118">
        <f t="shared" si="11"/>
        <v>0</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21">
        <f t="shared" si="28"/>
        <v>3.6889060407255231E-2</v>
      </c>
      <c r="AW21" s="21">
        <f t="shared" si="77"/>
        <v>0</v>
      </c>
      <c r="AX21" s="139">
        <f t="shared" si="29"/>
        <v>0</v>
      </c>
      <c r="AY21" s="140">
        <v>17</v>
      </c>
      <c r="AZ21" s="141">
        <f t="shared" si="30"/>
        <v>0</v>
      </c>
      <c r="BA21" s="19">
        <f t="shared" si="31"/>
        <v>34.060119771638107</v>
      </c>
      <c r="BB21" s="142">
        <f t="shared" si="32"/>
        <v>1.2568184195734461E-2</v>
      </c>
      <c r="BC21" s="19">
        <f t="shared" si="78"/>
        <v>39.459047832429412</v>
      </c>
      <c r="BD21" s="79">
        <f t="shared" si="33"/>
        <v>1.4560388650166454E-2</v>
      </c>
      <c r="BE21" s="144" t="e">
        <f t="shared" si="34"/>
        <v>#NUM!</v>
      </c>
      <c r="BF21" s="148" t="e">
        <f t="shared" si="35"/>
        <v>#NUM!</v>
      </c>
      <c r="BG21" s="144" t="e">
        <f t="shared" si="36"/>
        <v>#NUM!</v>
      </c>
      <c r="BH21" s="152" t="e">
        <f t="shared" si="37"/>
        <v>#NUM!</v>
      </c>
      <c r="BI21" s="28">
        <f t="shared" si="38"/>
        <v>0</v>
      </c>
      <c r="BJ21" s="29">
        <f t="shared" si="39"/>
        <v>0</v>
      </c>
      <c r="BK21" s="28">
        <f t="shared" si="40"/>
        <v>0</v>
      </c>
      <c r="BL21" s="29">
        <f t="shared" si="41"/>
        <v>0</v>
      </c>
      <c r="BM21" s="28">
        <f t="shared" si="42"/>
        <v>0</v>
      </c>
      <c r="BN21" s="29">
        <f t="shared" si="43"/>
        <v>0</v>
      </c>
      <c r="BO21" s="28">
        <f t="shared" si="44"/>
        <v>0</v>
      </c>
      <c r="BP21" s="29">
        <f t="shared" si="45"/>
        <v>0</v>
      </c>
      <c r="BQ21" s="150">
        <f t="shared" si="46"/>
        <v>0</v>
      </c>
      <c r="BR21" s="29">
        <f t="shared" si="47"/>
        <v>0</v>
      </c>
      <c r="BS21" s="91" t="e">
        <f t="shared" si="79"/>
        <v>#NUM!</v>
      </c>
      <c r="BT21" s="206" t="e">
        <f t="shared" si="80"/>
        <v>#NUM!</v>
      </c>
      <c r="BU21" s="206" t="e">
        <f t="shared" si="81"/>
        <v>#NUM!</v>
      </c>
      <c r="BV21" s="97" t="e">
        <f t="shared" si="82"/>
        <v>#NUM!</v>
      </c>
      <c r="BW21" s="123" t="e">
        <f t="shared" si="83"/>
        <v>#NUM!</v>
      </c>
      <c r="BX21" s="91">
        <f>(M21^2)*'Fly-Buck_Calc'!$B$80</f>
        <v>6.6353830473925611E-3</v>
      </c>
      <c r="BY21" s="92">
        <f t="shared" si="48"/>
        <v>5.0000000000000001E-3</v>
      </c>
      <c r="BZ21" s="92">
        <f t="shared" si="49"/>
        <v>0</v>
      </c>
      <c r="CA21" s="92">
        <f t="shared" si="50"/>
        <v>0</v>
      </c>
      <c r="CB21" s="92">
        <f t="shared" si="51"/>
        <v>0</v>
      </c>
      <c r="CC21" s="92">
        <f t="shared" si="52"/>
        <v>0</v>
      </c>
      <c r="CD21" s="92">
        <f t="shared" si="53"/>
        <v>0</v>
      </c>
      <c r="CE21" s="127">
        <f t="shared" si="84"/>
        <v>1.1635383047392561E-2</v>
      </c>
      <c r="CF21" s="91">
        <f t="shared" si="85"/>
        <v>2.7489444053483462E-2</v>
      </c>
      <c r="CG21" s="92">
        <f t="shared" si="54"/>
        <v>5.4810000000000005E-2</v>
      </c>
      <c r="CH21" s="206">
        <f t="shared" si="55"/>
        <v>3.7500000000000003E-3</v>
      </c>
      <c r="CI21" s="92">
        <f t="shared" si="56"/>
        <v>0.14616000000000001</v>
      </c>
      <c r="CJ21" s="93">
        <f t="shared" si="57"/>
        <v>0.09</v>
      </c>
      <c r="CK21" s="92">
        <f t="shared" si="58"/>
        <v>0.32220944405348351</v>
      </c>
      <c r="CL21" s="188">
        <f t="shared" si="59"/>
        <v>0.15</v>
      </c>
      <c r="CM21" s="206">
        <f t="shared" si="60"/>
        <v>0</v>
      </c>
      <c r="CN21" s="206">
        <f t="shared" si="61"/>
        <v>0</v>
      </c>
      <c r="CO21" s="206">
        <f t="shared" si="62"/>
        <v>0</v>
      </c>
      <c r="CP21" s="206">
        <f t="shared" si="63"/>
        <v>0</v>
      </c>
      <c r="CQ21" s="227">
        <f t="shared" si="64"/>
        <v>0</v>
      </c>
      <c r="CR21" s="231">
        <f t="shared" si="86"/>
        <v>0.15</v>
      </c>
      <c r="CS21" s="206">
        <f t="shared" si="65"/>
        <v>0.48384482710087606</v>
      </c>
      <c r="CT21" s="206">
        <f t="shared" si="66"/>
        <v>7.9838448271008762</v>
      </c>
      <c r="CU21" s="206">
        <f t="shared" si="67"/>
        <v>0.93939701515008378</v>
      </c>
      <c r="CV21">
        <f t="shared" si="68"/>
        <v>24.36</v>
      </c>
    </row>
    <row r="22" spans="1:100" ht="15" x14ac:dyDescent="0.25">
      <c r="A22" s="12" t="s">
        <v>308</v>
      </c>
      <c r="B22" s="12">
        <f>IF(AND(VoutPri_FB&gt;0,Vout6&lt;&gt;0),((ABS(Vout6)+Vdiode6)/ABS(VoutPri_FB))*Np,0)</f>
        <v>0</v>
      </c>
      <c r="C22" s="12"/>
      <c r="K22">
        <v>18</v>
      </c>
      <c r="L22" s="91">
        <f t="shared" si="0"/>
        <v>25.44</v>
      </c>
      <c r="M22" s="93">
        <f t="shared" si="1"/>
        <v>0.29481132075471694</v>
      </c>
      <c r="N22" s="122">
        <f t="shared" si="69"/>
        <v>7.5995807127882616E-5</v>
      </c>
      <c r="O22" s="97">
        <f t="shared" si="70"/>
        <v>6.8396226415094342E-5</v>
      </c>
      <c r="P22" s="123">
        <f t="shared" si="71"/>
        <v>6.2178387650085765E-5</v>
      </c>
      <c r="Q22" s="127">
        <f t="shared" si="72"/>
        <v>0.58962264150943389</v>
      </c>
      <c r="R22" s="91">
        <f t="shared" si="73"/>
        <v>0.5</v>
      </c>
      <c r="S22" s="92">
        <f t="shared" si="2"/>
        <v>0.34198113207547171</v>
      </c>
      <c r="T22" s="92">
        <f t="shared" si="74"/>
        <v>0.67099056603773588</v>
      </c>
      <c r="U22" s="92">
        <f t="shared" si="3"/>
        <v>1.5628699522031138</v>
      </c>
      <c r="V22" s="93">
        <f t="shared" si="75"/>
        <v>0.39134649373564023</v>
      </c>
      <c r="W22" s="92">
        <f t="shared" si="76"/>
        <v>0.25736814743483488</v>
      </c>
      <c r="X22" s="117">
        <f t="shared" si="4"/>
        <v>1.218390804597701</v>
      </c>
      <c r="Y22" s="103">
        <f t="shared" si="5"/>
        <v>0.15199161425576527</v>
      </c>
      <c r="Z22" s="103">
        <f t="shared" si="6"/>
        <v>0.78101563897831572</v>
      </c>
      <c r="AA22" s="118">
        <f t="shared" si="7"/>
        <v>0.59998785681770828</v>
      </c>
      <c r="AB22" s="117">
        <f t="shared" si="8"/>
        <v>0</v>
      </c>
      <c r="AC22" s="103">
        <f t="shared" si="9"/>
        <v>0</v>
      </c>
      <c r="AD22" s="103">
        <f t="shared" si="10"/>
        <v>0</v>
      </c>
      <c r="AE22" s="118">
        <f t="shared" si="11"/>
        <v>0</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21">
        <f t="shared" si="28"/>
        <v>3.9398747934962175E-2</v>
      </c>
      <c r="AW22" s="21">
        <f t="shared" si="77"/>
        <v>0</v>
      </c>
      <c r="AX22" s="139">
        <f t="shared" si="29"/>
        <v>0</v>
      </c>
      <c r="AY22" s="140">
        <v>18</v>
      </c>
      <c r="AZ22" s="141">
        <f t="shared" si="30"/>
        <v>0</v>
      </c>
      <c r="BA22" s="19">
        <f t="shared" si="31"/>
        <v>40.577175225945517</v>
      </c>
      <c r="BB22" s="142">
        <f t="shared" si="32"/>
        <v>1.4972977658373895E-2</v>
      </c>
      <c r="BC22" s="19">
        <f t="shared" si="78"/>
        <v>46.394369335627118</v>
      </c>
      <c r="BD22" s="79">
        <f t="shared" si="33"/>
        <v>1.7119522284846408E-2</v>
      </c>
      <c r="BE22" s="144" t="e">
        <f t="shared" si="34"/>
        <v>#NUM!</v>
      </c>
      <c r="BF22" s="148" t="e">
        <f t="shared" si="35"/>
        <v>#NUM!</v>
      </c>
      <c r="BG22" s="144" t="e">
        <f t="shared" si="36"/>
        <v>#NUM!</v>
      </c>
      <c r="BH22" s="152" t="e">
        <f t="shared" si="37"/>
        <v>#NUM!</v>
      </c>
      <c r="BI22" s="28">
        <f t="shared" si="38"/>
        <v>0</v>
      </c>
      <c r="BJ22" s="29">
        <f t="shared" si="39"/>
        <v>0</v>
      </c>
      <c r="BK22" s="28">
        <f t="shared" si="40"/>
        <v>0</v>
      </c>
      <c r="BL22" s="29">
        <f t="shared" si="41"/>
        <v>0</v>
      </c>
      <c r="BM22" s="28">
        <f t="shared" si="42"/>
        <v>0</v>
      </c>
      <c r="BN22" s="29">
        <f t="shared" si="43"/>
        <v>0</v>
      </c>
      <c r="BO22" s="28">
        <f t="shared" si="44"/>
        <v>0</v>
      </c>
      <c r="BP22" s="29">
        <f t="shared" si="45"/>
        <v>0</v>
      </c>
      <c r="BQ22" s="150">
        <f t="shared" si="46"/>
        <v>0</v>
      </c>
      <c r="BR22" s="29">
        <f t="shared" si="47"/>
        <v>0</v>
      </c>
      <c r="BS22" s="91" t="e">
        <f t="shared" si="79"/>
        <v>#NUM!</v>
      </c>
      <c r="BT22" s="206" t="e">
        <f t="shared" si="80"/>
        <v>#NUM!</v>
      </c>
      <c r="BU22" s="206" t="e">
        <f t="shared" si="81"/>
        <v>#NUM!</v>
      </c>
      <c r="BV22" s="97" t="e">
        <f t="shared" si="82"/>
        <v>#NUM!</v>
      </c>
      <c r="BW22" s="123" t="e">
        <f t="shared" si="83"/>
        <v>#NUM!</v>
      </c>
      <c r="BX22" s="91">
        <f>(M22^2)*'Fly-Buck_Calc'!$B$80</f>
        <v>6.0839600391598423E-3</v>
      </c>
      <c r="BY22" s="92">
        <f t="shared" si="48"/>
        <v>5.0000000000000001E-3</v>
      </c>
      <c r="BZ22" s="92">
        <f t="shared" si="49"/>
        <v>0</v>
      </c>
      <c r="CA22" s="92">
        <f t="shared" si="50"/>
        <v>0</v>
      </c>
      <c r="CB22" s="92">
        <f t="shared" si="51"/>
        <v>0</v>
      </c>
      <c r="CC22" s="92">
        <f t="shared" si="52"/>
        <v>0</v>
      </c>
      <c r="CD22" s="92">
        <f t="shared" si="53"/>
        <v>0</v>
      </c>
      <c r="CE22" s="127">
        <f t="shared" si="84"/>
        <v>1.1083960039159842E-2</v>
      </c>
      <c r="CF22" s="91">
        <f t="shared" si="85"/>
        <v>2.5204977305090772E-2</v>
      </c>
      <c r="CG22" s="92">
        <f t="shared" si="54"/>
        <v>5.7240000000000006E-2</v>
      </c>
      <c r="CH22" s="206">
        <f t="shared" si="55"/>
        <v>3.7500000000000003E-3</v>
      </c>
      <c r="CI22" s="92">
        <f t="shared" si="56"/>
        <v>0.15264</v>
      </c>
      <c r="CJ22" s="93">
        <f t="shared" si="57"/>
        <v>0.09</v>
      </c>
      <c r="CK22" s="92">
        <f t="shared" si="58"/>
        <v>0.32883497730509081</v>
      </c>
      <c r="CL22" s="188">
        <f t="shared" si="59"/>
        <v>0.15</v>
      </c>
      <c r="CM22" s="206">
        <f t="shared" si="60"/>
        <v>0</v>
      </c>
      <c r="CN22" s="206">
        <f t="shared" si="61"/>
        <v>0</v>
      </c>
      <c r="CO22" s="206">
        <f t="shared" si="62"/>
        <v>0</v>
      </c>
      <c r="CP22" s="206">
        <f t="shared" si="63"/>
        <v>0</v>
      </c>
      <c r="CQ22" s="227">
        <f t="shared" si="64"/>
        <v>0</v>
      </c>
      <c r="CR22" s="231">
        <f t="shared" si="86"/>
        <v>0.15</v>
      </c>
      <c r="CS22" s="206">
        <f t="shared" si="65"/>
        <v>0.48991893734425068</v>
      </c>
      <c r="CT22" s="206">
        <f t="shared" si="66"/>
        <v>7.9899189373442505</v>
      </c>
      <c r="CU22" s="206">
        <f t="shared" si="67"/>
        <v>0.93868286509711529</v>
      </c>
      <c r="CV22">
        <f t="shared" si="68"/>
        <v>25.44</v>
      </c>
    </row>
    <row r="23" spans="1:100" ht="15" x14ac:dyDescent="0.25">
      <c r="A23" s="12" t="s">
        <v>309</v>
      </c>
      <c r="B23" s="12">
        <f>IF(n6_FlyB_Calc&lt;&gt;0,n6_FlyB/Np,0)</f>
        <v>0</v>
      </c>
      <c r="C23" s="12"/>
      <c r="K23">
        <v>19</v>
      </c>
      <c r="L23" s="91">
        <f t="shared" si="0"/>
        <v>26.520000000000003</v>
      </c>
      <c r="M23" s="93">
        <f t="shared" si="1"/>
        <v>0.28280542986425333</v>
      </c>
      <c r="N23" s="122">
        <f t="shared" si="69"/>
        <v>8.0442433383609869E-5</v>
      </c>
      <c r="O23" s="97">
        <f t="shared" si="70"/>
        <v>7.2398190045248873E-5</v>
      </c>
      <c r="P23" s="123">
        <f t="shared" si="71"/>
        <v>6.581653640477171E-5</v>
      </c>
      <c r="Q23" s="127">
        <f t="shared" si="72"/>
        <v>0.56561085972850667</v>
      </c>
      <c r="R23" s="91">
        <f t="shared" si="73"/>
        <v>0.5</v>
      </c>
      <c r="S23" s="92">
        <f t="shared" si="2"/>
        <v>0.36199095022624433</v>
      </c>
      <c r="T23" s="92">
        <f t="shared" si="74"/>
        <v>0.6809954751131222</v>
      </c>
      <c r="U23" s="92">
        <f t="shared" si="3"/>
        <v>1.5230324873707954</v>
      </c>
      <c r="V23" s="93">
        <f t="shared" si="75"/>
        <v>0.38416020777266846</v>
      </c>
      <c r="W23" s="92">
        <f t="shared" si="76"/>
        <v>0.26000029629835941</v>
      </c>
      <c r="X23" s="117">
        <f t="shared" si="4"/>
        <v>1.1510416666666663</v>
      </c>
      <c r="Y23" s="103">
        <f t="shared" si="5"/>
        <v>0.16088486676721978</v>
      </c>
      <c r="Z23" s="103">
        <f t="shared" si="6"/>
        <v>0.75924818639875125</v>
      </c>
      <c r="AA23" s="118">
        <f t="shared" si="7"/>
        <v>0.5713648646441194</v>
      </c>
      <c r="AB23" s="117">
        <f t="shared" si="8"/>
        <v>0</v>
      </c>
      <c r="AC23" s="103">
        <f t="shared" si="9"/>
        <v>0</v>
      </c>
      <c r="AD23" s="103">
        <f t="shared" si="10"/>
        <v>0</v>
      </c>
      <c r="AE23" s="118">
        <f t="shared" si="11"/>
        <v>0</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21">
        <f t="shared" si="28"/>
        <v>4.1704026523760866E-2</v>
      </c>
      <c r="AW23" s="21">
        <f t="shared" si="77"/>
        <v>0</v>
      </c>
      <c r="AX23" s="139">
        <f t="shared" si="29"/>
        <v>0</v>
      </c>
      <c r="AY23" s="140">
        <v>19</v>
      </c>
      <c r="AZ23" s="141">
        <f t="shared" si="30"/>
        <v>0</v>
      </c>
      <c r="BA23" s="19">
        <f t="shared" si="31"/>
        <v>47.203262937885782</v>
      </c>
      <c r="BB23" s="142">
        <f t="shared" si="32"/>
        <v>1.7418004024079854E-2</v>
      </c>
      <c r="BC23" s="19">
        <f t="shared" si="78"/>
        <v>53.360067704068619</v>
      </c>
      <c r="BD23" s="79">
        <f t="shared" si="33"/>
        <v>1.9689864982801321E-2</v>
      </c>
      <c r="BE23" s="144" t="e">
        <f t="shared" si="34"/>
        <v>#NUM!</v>
      </c>
      <c r="BF23" s="148" t="e">
        <f t="shared" si="35"/>
        <v>#NUM!</v>
      </c>
      <c r="BG23" s="144" t="e">
        <f t="shared" si="36"/>
        <v>#NUM!</v>
      </c>
      <c r="BH23" s="152" t="e">
        <f t="shared" si="37"/>
        <v>#NUM!</v>
      </c>
      <c r="BI23" s="28">
        <f t="shared" si="38"/>
        <v>0</v>
      </c>
      <c r="BJ23" s="29">
        <f t="shared" si="39"/>
        <v>0</v>
      </c>
      <c r="BK23" s="28">
        <f t="shared" si="40"/>
        <v>0</v>
      </c>
      <c r="BL23" s="29">
        <f t="shared" si="41"/>
        <v>0</v>
      </c>
      <c r="BM23" s="28">
        <f t="shared" si="42"/>
        <v>0</v>
      </c>
      <c r="BN23" s="29">
        <f t="shared" si="43"/>
        <v>0</v>
      </c>
      <c r="BO23" s="28">
        <f t="shared" si="44"/>
        <v>0</v>
      </c>
      <c r="BP23" s="29">
        <f t="shared" si="45"/>
        <v>0</v>
      </c>
      <c r="BQ23" s="150">
        <f t="shared" si="46"/>
        <v>0</v>
      </c>
      <c r="BR23" s="29">
        <f t="shared" si="47"/>
        <v>0</v>
      </c>
      <c r="BS23" s="91" t="e">
        <f t="shared" si="79"/>
        <v>#NUM!</v>
      </c>
      <c r="BT23" s="206" t="e">
        <f t="shared" si="80"/>
        <v>#NUM!</v>
      </c>
      <c r="BU23" s="206" t="e">
        <f t="shared" si="81"/>
        <v>#NUM!</v>
      </c>
      <c r="BV23" s="97" t="e">
        <f t="shared" si="82"/>
        <v>#NUM!</v>
      </c>
      <c r="BW23" s="123" t="e">
        <f t="shared" si="83"/>
        <v>#NUM!</v>
      </c>
      <c r="BX23" s="91">
        <f>(M23^2)*'Fly-Buck_Calc'!$B$80</f>
        <v>5.5985237812493588E-3</v>
      </c>
      <c r="BY23" s="92">
        <f t="shared" si="48"/>
        <v>5.0000000000000001E-3</v>
      </c>
      <c r="BZ23" s="92">
        <f t="shared" si="49"/>
        <v>0</v>
      </c>
      <c r="CA23" s="92">
        <f t="shared" si="50"/>
        <v>0</v>
      </c>
      <c r="CB23" s="92">
        <f t="shared" si="51"/>
        <v>0</v>
      </c>
      <c r="CC23" s="92">
        <f t="shared" si="52"/>
        <v>0</v>
      </c>
      <c r="CD23" s="92">
        <f t="shared" si="53"/>
        <v>0</v>
      </c>
      <c r="CE23" s="127">
        <f t="shared" si="84"/>
        <v>1.0598523781249359E-2</v>
      </c>
      <c r="CF23" s="91">
        <f t="shared" si="85"/>
        <v>2.319388423660448E-2</v>
      </c>
      <c r="CG23" s="92">
        <f t="shared" si="54"/>
        <v>5.9670000000000015E-2</v>
      </c>
      <c r="CH23" s="206">
        <f t="shared" si="55"/>
        <v>3.7500000000000003E-3</v>
      </c>
      <c r="CI23" s="92">
        <f t="shared" si="56"/>
        <v>0.15912000000000001</v>
      </c>
      <c r="CJ23" s="93">
        <f t="shared" si="57"/>
        <v>0.09</v>
      </c>
      <c r="CK23" s="92">
        <f t="shared" si="58"/>
        <v>0.33573388423660455</v>
      </c>
      <c r="CL23" s="188">
        <f t="shared" si="59"/>
        <v>0.15</v>
      </c>
      <c r="CM23" s="206">
        <f t="shared" si="60"/>
        <v>0</v>
      </c>
      <c r="CN23" s="206">
        <f t="shared" si="61"/>
        <v>0</v>
      </c>
      <c r="CO23" s="206">
        <f t="shared" si="62"/>
        <v>0</v>
      </c>
      <c r="CP23" s="206">
        <f t="shared" si="63"/>
        <v>0</v>
      </c>
      <c r="CQ23" s="227">
        <f t="shared" si="64"/>
        <v>0</v>
      </c>
      <c r="CR23" s="231">
        <f t="shared" si="86"/>
        <v>0.15</v>
      </c>
      <c r="CS23" s="206">
        <f t="shared" si="65"/>
        <v>0.49633240801785394</v>
      </c>
      <c r="CT23" s="206">
        <f t="shared" si="66"/>
        <v>7.9963324080178539</v>
      </c>
      <c r="CU23" s="206">
        <f t="shared" si="67"/>
        <v>0.93792999306529756</v>
      </c>
      <c r="CV23">
        <f t="shared" si="68"/>
        <v>26.520000000000003</v>
      </c>
    </row>
    <row r="24" spans="1:100" ht="15" x14ac:dyDescent="0.25">
      <c r="A24" s="524" t="s">
        <v>30</v>
      </c>
      <c r="B24" s="524"/>
      <c r="C24" s="12"/>
      <c r="K24">
        <v>20</v>
      </c>
      <c r="L24" s="91">
        <f t="shared" si="0"/>
        <v>27.6</v>
      </c>
      <c r="M24" s="93">
        <f t="shared" si="1"/>
        <v>0.27173913043478259</v>
      </c>
      <c r="N24" s="122">
        <f t="shared" si="69"/>
        <v>8.4541062801932372E-5</v>
      </c>
      <c r="O24" s="97">
        <f t="shared" si="70"/>
        <v>7.6086956521739124E-5</v>
      </c>
      <c r="P24" s="123">
        <f t="shared" si="71"/>
        <v>6.9169960474308297E-5</v>
      </c>
      <c r="Q24" s="127">
        <f t="shared" si="72"/>
        <v>0.54347826086956519</v>
      </c>
      <c r="R24" s="91">
        <f t="shared" si="73"/>
        <v>0.5</v>
      </c>
      <c r="S24" s="92">
        <f t="shared" si="2"/>
        <v>0.38043478260869568</v>
      </c>
      <c r="T24" s="92">
        <f t="shared" si="74"/>
        <v>0.69021739130434789</v>
      </c>
      <c r="U24" s="92">
        <f t="shared" si="3"/>
        <v>1.4885126186349793</v>
      </c>
      <c r="V24" s="93">
        <f t="shared" si="75"/>
        <v>0.37739156614142766</v>
      </c>
      <c r="W24" s="92">
        <f t="shared" si="76"/>
        <v>0.26188210932636802</v>
      </c>
      <c r="X24" s="117">
        <f t="shared" si="4"/>
        <v>1.0952380952380951</v>
      </c>
      <c r="Y24" s="103">
        <f t="shared" si="5"/>
        <v>0.16908212560386479</v>
      </c>
      <c r="Z24" s="103">
        <f t="shared" si="6"/>
        <v>0.74074736832903454</v>
      </c>
      <c r="AA24" s="118">
        <f t="shared" si="7"/>
        <v>0.54654063315218415</v>
      </c>
      <c r="AB24" s="117">
        <f t="shared" si="8"/>
        <v>0</v>
      </c>
      <c r="AC24" s="103">
        <f t="shared" si="9"/>
        <v>0</v>
      </c>
      <c r="AD24" s="103">
        <f t="shared" si="10"/>
        <v>0</v>
      </c>
      <c r="AE24" s="118">
        <f t="shared" si="11"/>
        <v>0</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21">
        <f t="shared" si="28"/>
        <v>4.3828892005610097E-2</v>
      </c>
      <c r="AW24" s="21">
        <f t="shared" si="77"/>
        <v>0</v>
      </c>
      <c r="AX24" s="139">
        <f t="shared" si="29"/>
        <v>0</v>
      </c>
      <c r="AY24" s="140">
        <v>20</v>
      </c>
      <c r="AZ24" s="141">
        <f t="shared" si="30"/>
        <v>0</v>
      </c>
      <c r="BA24" s="19">
        <f t="shared" si="31"/>
        <v>53.874280139680558</v>
      </c>
      <c r="BB24" s="142">
        <f t="shared" si="32"/>
        <v>1.9879609371542126E-2</v>
      </c>
      <c r="BC24" s="19">
        <f t="shared" si="78"/>
        <v>60.298891868009626</v>
      </c>
      <c r="BD24" s="79">
        <f t="shared" si="33"/>
        <v>2.2250291099295553E-2</v>
      </c>
      <c r="BE24" s="144" t="e">
        <f t="shared" si="34"/>
        <v>#NUM!</v>
      </c>
      <c r="BF24" s="148" t="e">
        <f t="shared" si="35"/>
        <v>#NUM!</v>
      </c>
      <c r="BG24" s="144" t="e">
        <f t="shared" si="36"/>
        <v>#NUM!</v>
      </c>
      <c r="BH24" s="152" t="e">
        <f t="shared" si="37"/>
        <v>#NUM!</v>
      </c>
      <c r="BI24" s="28">
        <f t="shared" si="38"/>
        <v>0</v>
      </c>
      <c r="BJ24" s="29">
        <f t="shared" si="39"/>
        <v>0</v>
      </c>
      <c r="BK24" s="28">
        <f t="shared" si="40"/>
        <v>0</v>
      </c>
      <c r="BL24" s="29">
        <f t="shared" si="41"/>
        <v>0</v>
      </c>
      <c r="BM24" s="28">
        <f t="shared" si="42"/>
        <v>0</v>
      </c>
      <c r="BN24" s="29">
        <f t="shared" si="43"/>
        <v>0</v>
      </c>
      <c r="BO24" s="28">
        <f t="shared" si="44"/>
        <v>0</v>
      </c>
      <c r="BP24" s="29">
        <f t="shared" si="45"/>
        <v>0</v>
      </c>
      <c r="BQ24" s="150">
        <f t="shared" si="46"/>
        <v>0</v>
      </c>
      <c r="BR24" s="29">
        <f t="shared" si="47"/>
        <v>0</v>
      </c>
      <c r="BS24" s="91" t="e">
        <f t="shared" si="79"/>
        <v>#NUM!</v>
      </c>
      <c r="BT24" s="206" t="e">
        <f t="shared" si="80"/>
        <v>#NUM!</v>
      </c>
      <c r="BU24" s="206" t="e">
        <f t="shared" si="81"/>
        <v>#NUM!</v>
      </c>
      <c r="BV24" s="97" t="e">
        <f t="shared" si="82"/>
        <v>#NUM!</v>
      </c>
      <c r="BW24" s="123" t="e">
        <f t="shared" si="83"/>
        <v>#NUM!</v>
      </c>
      <c r="BX24" s="91">
        <f>(M24^2)*'Fly-Buck_Calc'!$B$80</f>
        <v>5.1689508506616256E-3</v>
      </c>
      <c r="BY24" s="92">
        <f t="shared" si="48"/>
        <v>5.0000000000000001E-3</v>
      </c>
      <c r="BZ24" s="92">
        <f t="shared" si="49"/>
        <v>0</v>
      </c>
      <c r="CA24" s="92">
        <f t="shared" si="50"/>
        <v>0</v>
      </c>
      <c r="CB24" s="92">
        <f t="shared" si="51"/>
        <v>0</v>
      </c>
      <c r="CC24" s="92">
        <f t="shared" si="52"/>
        <v>0</v>
      </c>
      <c r="CD24" s="92">
        <f t="shared" si="53"/>
        <v>0</v>
      </c>
      <c r="CE24" s="127">
        <f t="shared" si="84"/>
        <v>1.0168950850661626E-2</v>
      </c>
      <c r="CF24" s="91">
        <f t="shared" si="85"/>
        <v>2.1414224952741017E-2</v>
      </c>
      <c r="CG24" s="92">
        <f t="shared" si="54"/>
        <v>6.2100000000000009E-2</v>
      </c>
      <c r="CH24" s="206">
        <f t="shared" si="55"/>
        <v>3.7500000000000003E-3</v>
      </c>
      <c r="CI24" s="92">
        <f t="shared" si="56"/>
        <v>0.16560000000000002</v>
      </c>
      <c r="CJ24" s="93">
        <f t="shared" si="57"/>
        <v>0.09</v>
      </c>
      <c r="CK24" s="92">
        <f t="shared" si="58"/>
        <v>0.34286422495274105</v>
      </c>
      <c r="CL24" s="188">
        <f t="shared" si="59"/>
        <v>0.15</v>
      </c>
      <c r="CM24" s="206">
        <f t="shared" si="60"/>
        <v>0</v>
      </c>
      <c r="CN24" s="206">
        <f t="shared" si="61"/>
        <v>0</v>
      </c>
      <c r="CO24" s="206">
        <f t="shared" si="62"/>
        <v>0</v>
      </c>
      <c r="CP24" s="206">
        <f t="shared" si="63"/>
        <v>0</v>
      </c>
      <c r="CQ24" s="227">
        <f t="shared" si="64"/>
        <v>0</v>
      </c>
      <c r="CR24" s="231">
        <f t="shared" si="86"/>
        <v>0.15</v>
      </c>
      <c r="CS24" s="206">
        <f t="shared" si="65"/>
        <v>0.50303317580340268</v>
      </c>
      <c r="CT24" s="206">
        <f t="shared" si="66"/>
        <v>8.0030331758034023</v>
      </c>
      <c r="CU24" s="206">
        <f t="shared" si="67"/>
        <v>0.93714468442736343</v>
      </c>
      <c r="CV24">
        <f t="shared" si="68"/>
        <v>27.6</v>
      </c>
    </row>
    <row r="25" spans="1:100" ht="15" x14ac:dyDescent="0.25">
      <c r="A25" s="12" t="s">
        <v>317</v>
      </c>
      <c r="B25" s="19">
        <f>Lm_FlyB</f>
        <v>5.9999999999999995E-5</v>
      </c>
      <c r="C25" s="12" t="s">
        <v>311</v>
      </c>
      <c r="E25" t="s">
        <v>32</v>
      </c>
      <c r="F25" s="2">
        <f>IF(VoutPri_FB&gt;0,(VoutPri_FB/(RR*ILavg_FlyB*Fsw))*(1-(VoutPri_FB/VinMin)),0)</f>
        <v>-2.4999999999999995E-4</v>
      </c>
      <c r="K25">
        <v>21</v>
      </c>
      <c r="L25" s="91">
        <f t="shared" si="0"/>
        <v>28.68</v>
      </c>
      <c r="M25" s="93">
        <f t="shared" si="1"/>
        <v>0.2615062761506276</v>
      </c>
      <c r="N25" s="122">
        <f t="shared" si="69"/>
        <v>8.8331008833100882E-5</v>
      </c>
      <c r="O25" s="97">
        <f t="shared" si="70"/>
        <v>7.9497907949790779E-5</v>
      </c>
      <c r="P25" s="123">
        <f t="shared" si="71"/>
        <v>7.2270825408900718E-5</v>
      </c>
      <c r="Q25" s="127">
        <f t="shared" si="72"/>
        <v>0.52301255230125521</v>
      </c>
      <c r="R25" s="91">
        <f t="shared" si="73"/>
        <v>0.5</v>
      </c>
      <c r="S25" s="92">
        <f t="shared" si="2"/>
        <v>0.39748953974895396</v>
      </c>
      <c r="T25" s="92">
        <f t="shared" si="74"/>
        <v>0.69874476987447698</v>
      </c>
      <c r="U25" s="92">
        <f t="shared" si="3"/>
        <v>1.4582271113384426</v>
      </c>
      <c r="V25" s="93">
        <f t="shared" si="75"/>
        <v>0.37099781667519927</v>
      </c>
      <c r="W25" s="92">
        <f t="shared" si="76"/>
        <v>0.2631612576189673</v>
      </c>
      <c r="X25" s="117">
        <f t="shared" si="4"/>
        <v>1.0482456140350878</v>
      </c>
      <c r="Y25" s="103">
        <f t="shared" si="5"/>
        <v>0.17666201766620179</v>
      </c>
      <c r="Z25" s="103">
        <f t="shared" si="6"/>
        <v>0.72481952977549557</v>
      </c>
      <c r="AA25" s="118">
        <f t="shared" si="7"/>
        <v>0.5247507510656565</v>
      </c>
      <c r="AB25" s="117">
        <f t="shared" si="8"/>
        <v>0</v>
      </c>
      <c r="AC25" s="103">
        <f t="shared" si="9"/>
        <v>0</v>
      </c>
      <c r="AD25" s="103">
        <f t="shared" si="10"/>
        <v>0</v>
      </c>
      <c r="AE25" s="118">
        <f t="shared" si="11"/>
        <v>0</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21">
        <f t="shared" si="28"/>
        <v>4.5793725777529257E-2</v>
      </c>
      <c r="AW25" s="21">
        <f t="shared" si="77"/>
        <v>0</v>
      </c>
      <c r="AX25" s="139">
        <f t="shared" si="29"/>
        <v>0</v>
      </c>
      <c r="AY25" s="140">
        <v>21</v>
      </c>
      <c r="AZ25" s="141">
        <f t="shared" si="30"/>
        <v>0</v>
      </c>
      <c r="BA25" s="19">
        <f t="shared" si="31"/>
        <v>60.540008352876036</v>
      </c>
      <c r="BB25" s="142">
        <f t="shared" si="32"/>
        <v>2.2339263082211257E-2</v>
      </c>
      <c r="BC25" s="19">
        <f t="shared" si="78"/>
        <v>67.167816417140557</v>
      </c>
      <c r="BD25" s="79">
        <f t="shared" si="33"/>
        <v>2.4784924257924865E-2</v>
      </c>
      <c r="BE25" s="144" t="e">
        <f t="shared" si="34"/>
        <v>#NUM!</v>
      </c>
      <c r="BF25" s="148" t="e">
        <f t="shared" si="35"/>
        <v>#NUM!</v>
      </c>
      <c r="BG25" s="144" t="e">
        <f t="shared" si="36"/>
        <v>#NUM!</v>
      </c>
      <c r="BH25" s="152" t="e">
        <f t="shared" si="37"/>
        <v>#NUM!</v>
      </c>
      <c r="BI25" s="28">
        <f t="shared" si="38"/>
        <v>0</v>
      </c>
      <c r="BJ25" s="29">
        <f t="shared" si="39"/>
        <v>0</v>
      </c>
      <c r="BK25" s="28">
        <f t="shared" si="40"/>
        <v>0</v>
      </c>
      <c r="BL25" s="29">
        <f t="shared" si="41"/>
        <v>0</v>
      </c>
      <c r="BM25" s="28">
        <f t="shared" si="42"/>
        <v>0</v>
      </c>
      <c r="BN25" s="29">
        <f t="shared" si="43"/>
        <v>0</v>
      </c>
      <c r="BO25" s="28">
        <f t="shared" si="44"/>
        <v>0</v>
      </c>
      <c r="BP25" s="29">
        <f t="shared" si="45"/>
        <v>0</v>
      </c>
      <c r="BQ25" s="150">
        <f t="shared" si="46"/>
        <v>0</v>
      </c>
      <c r="BR25" s="29">
        <f t="shared" si="47"/>
        <v>0</v>
      </c>
      <c r="BS25" s="91" t="e">
        <f t="shared" si="79"/>
        <v>#NUM!</v>
      </c>
      <c r="BT25" s="206" t="e">
        <f t="shared" si="80"/>
        <v>#NUM!</v>
      </c>
      <c r="BU25" s="206" t="e">
        <f t="shared" si="81"/>
        <v>#NUM!</v>
      </c>
      <c r="BV25" s="97" t="e">
        <f t="shared" si="82"/>
        <v>#NUM!</v>
      </c>
      <c r="BW25" s="123" t="e">
        <f t="shared" si="83"/>
        <v>#NUM!</v>
      </c>
      <c r="BX25" s="91">
        <f>(M25^2)*'Fly-Buck_Calc'!$B$80</f>
        <v>4.7869872726317812E-3</v>
      </c>
      <c r="BY25" s="92">
        <f t="shared" si="48"/>
        <v>5.0000000000000001E-3</v>
      </c>
      <c r="BZ25" s="92">
        <f t="shared" si="49"/>
        <v>0</v>
      </c>
      <c r="CA25" s="92">
        <f t="shared" si="50"/>
        <v>0</v>
      </c>
      <c r="CB25" s="92">
        <f t="shared" si="51"/>
        <v>0</v>
      </c>
      <c r="CC25" s="92">
        <f t="shared" si="52"/>
        <v>0</v>
      </c>
      <c r="CD25" s="92">
        <f t="shared" si="53"/>
        <v>0</v>
      </c>
      <c r="CE25" s="127">
        <f t="shared" si="84"/>
        <v>9.7869872726317822E-3</v>
      </c>
      <c r="CF25" s="91">
        <f t="shared" si="85"/>
        <v>1.9831804415188805E-2</v>
      </c>
      <c r="CG25" s="92">
        <f t="shared" si="54"/>
        <v>6.4530000000000004E-2</v>
      </c>
      <c r="CH25" s="206">
        <f t="shared" si="55"/>
        <v>3.7500000000000003E-3</v>
      </c>
      <c r="CI25" s="92">
        <f t="shared" si="56"/>
        <v>0.17208000000000001</v>
      </c>
      <c r="CJ25" s="93">
        <f t="shared" si="57"/>
        <v>0.09</v>
      </c>
      <c r="CK25" s="92">
        <f t="shared" si="58"/>
        <v>0.35019180441518882</v>
      </c>
      <c r="CL25" s="188">
        <f t="shared" si="59"/>
        <v>0.15</v>
      </c>
      <c r="CM25" s="206">
        <f t="shared" si="60"/>
        <v>0</v>
      </c>
      <c r="CN25" s="206">
        <f t="shared" si="61"/>
        <v>0</v>
      </c>
      <c r="CO25" s="206">
        <f t="shared" si="62"/>
        <v>0</v>
      </c>
      <c r="CP25" s="206">
        <f t="shared" si="63"/>
        <v>0</v>
      </c>
      <c r="CQ25" s="227">
        <f t="shared" si="64"/>
        <v>0</v>
      </c>
      <c r="CR25" s="231">
        <f t="shared" si="86"/>
        <v>0.15</v>
      </c>
      <c r="CS25" s="206">
        <f t="shared" si="65"/>
        <v>0.50997879168782068</v>
      </c>
      <c r="CT25" s="206">
        <f t="shared" si="66"/>
        <v>8.0099787916878213</v>
      </c>
      <c r="CU25" s="206">
        <f t="shared" si="67"/>
        <v>0.93633206716888684</v>
      </c>
      <c r="CV25">
        <f t="shared" si="68"/>
        <v>28.68</v>
      </c>
    </row>
    <row r="26" spans="1:100" ht="15" x14ac:dyDescent="0.25">
      <c r="A26" s="12" t="s">
        <v>47</v>
      </c>
      <c r="B26" s="12">
        <f>IoutPri_FB+((Ns1_FlyB/Np)*Iout1)+((Ns2_FlyB/Np)*Iout2)+((Ns3_FlyB/Np)*Iout3)+((Ns4_FlyB/Np)*Iout4)+((Ns5_FlyB/Np)*Iout5)+((Ns6_FlyB/Np)*Iout6)</f>
        <v>0.75</v>
      </c>
      <c r="C26" s="12" t="s">
        <v>6</v>
      </c>
      <c r="E26" t="s">
        <v>33</v>
      </c>
      <c r="F26" s="2">
        <f>IF(VoutPri_FB&gt;0,(VoutPri_FB/(RR*ILavg_FlyB*Fsw))*(1-(VoutPri_FB/VinNom)),0)</f>
        <v>6.2499999999999988E-5</v>
      </c>
      <c r="K26">
        <v>22</v>
      </c>
      <c r="L26" s="91">
        <f t="shared" si="0"/>
        <v>29.76</v>
      </c>
      <c r="M26" s="93">
        <f t="shared" si="1"/>
        <v>0.25201612903225806</v>
      </c>
      <c r="N26" s="122">
        <f t="shared" si="69"/>
        <v>9.1845878136200717E-5</v>
      </c>
      <c r="O26" s="97">
        <f t="shared" si="70"/>
        <v>8.2661290322580633E-5</v>
      </c>
      <c r="P26" s="123">
        <f t="shared" si="71"/>
        <v>7.5146627565982391E-5</v>
      </c>
      <c r="Q26" s="127">
        <f t="shared" si="72"/>
        <v>0.50403225806451613</v>
      </c>
      <c r="R26" s="91">
        <f t="shared" si="73"/>
        <v>0.5</v>
      </c>
      <c r="S26" s="92">
        <f t="shared" si="2"/>
        <v>0.41330645161290325</v>
      </c>
      <c r="T26" s="92">
        <f t="shared" si="74"/>
        <v>0.70665322580645162</v>
      </c>
      <c r="U26" s="92">
        <f t="shared" si="3"/>
        <v>1.4313778186942279</v>
      </c>
      <c r="V26" s="93">
        <f t="shared" si="75"/>
        <v>0.36494253942139537</v>
      </c>
      <c r="W26" s="92">
        <f t="shared" si="76"/>
        <v>0.26395251047666318</v>
      </c>
      <c r="X26" s="117">
        <f t="shared" si="4"/>
        <v>1.0081300813008129</v>
      </c>
      <c r="Y26" s="103">
        <f t="shared" si="5"/>
        <v>0.18369175627240147</v>
      </c>
      <c r="Z26" s="103">
        <f t="shared" si="6"/>
        <v>0.71095685284855492</v>
      </c>
      <c r="AA26" s="118">
        <f t="shared" si="7"/>
        <v>0.5054301599749681</v>
      </c>
      <c r="AB26" s="117">
        <f t="shared" si="8"/>
        <v>0</v>
      </c>
      <c r="AC26" s="103">
        <f t="shared" si="9"/>
        <v>0</v>
      </c>
      <c r="AD26" s="103">
        <f t="shared" si="10"/>
        <v>0</v>
      </c>
      <c r="AE26" s="118">
        <f t="shared" si="11"/>
        <v>0</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21">
        <f t="shared" si="28"/>
        <v>4.7615950646647844E-2</v>
      </c>
      <c r="AW26" s="21">
        <f t="shared" si="77"/>
        <v>0</v>
      </c>
      <c r="AX26" s="139">
        <f t="shared" si="29"/>
        <v>0</v>
      </c>
      <c r="AY26" s="140">
        <v>22</v>
      </c>
      <c r="AZ26" s="141">
        <f t="shared" si="30"/>
        <v>0</v>
      </c>
      <c r="BA26" s="19">
        <f t="shared" si="31"/>
        <v>67.161457740900985</v>
      </c>
      <c r="BB26" s="142">
        <f t="shared" si="32"/>
        <v>2.4782577906392465E-2</v>
      </c>
      <c r="BC26" s="19">
        <f t="shared" si="78"/>
        <v>73.93491386363668</v>
      </c>
      <c r="BD26" s="79">
        <f t="shared" si="33"/>
        <v>2.7281983215681933E-2</v>
      </c>
      <c r="BE26" s="144" t="e">
        <f t="shared" si="34"/>
        <v>#NUM!</v>
      </c>
      <c r="BF26" s="148" t="e">
        <f t="shared" si="35"/>
        <v>#NUM!</v>
      </c>
      <c r="BG26" s="144" t="e">
        <f t="shared" si="36"/>
        <v>#NUM!</v>
      </c>
      <c r="BH26" s="152" t="e">
        <f t="shared" si="37"/>
        <v>#NUM!</v>
      </c>
      <c r="BI26" s="28">
        <f t="shared" si="38"/>
        <v>0</v>
      </c>
      <c r="BJ26" s="29">
        <f t="shared" si="39"/>
        <v>0</v>
      </c>
      <c r="BK26" s="28">
        <f t="shared" si="40"/>
        <v>0</v>
      </c>
      <c r="BL26" s="29">
        <f t="shared" si="41"/>
        <v>0</v>
      </c>
      <c r="BM26" s="28">
        <f t="shared" si="42"/>
        <v>0</v>
      </c>
      <c r="BN26" s="29">
        <f t="shared" si="43"/>
        <v>0</v>
      </c>
      <c r="BO26" s="28">
        <f t="shared" si="44"/>
        <v>0</v>
      </c>
      <c r="BP26" s="29">
        <f t="shared" si="45"/>
        <v>0</v>
      </c>
      <c r="BQ26" s="150">
        <f t="shared" si="46"/>
        <v>0</v>
      </c>
      <c r="BR26" s="29">
        <f t="shared" si="47"/>
        <v>0</v>
      </c>
      <c r="BS26" s="91" t="e">
        <f t="shared" si="79"/>
        <v>#NUM!</v>
      </c>
      <c r="BT26" s="206" t="e">
        <f t="shared" si="80"/>
        <v>#NUM!</v>
      </c>
      <c r="BU26" s="206" t="e">
        <f t="shared" si="81"/>
        <v>#NUM!</v>
      </c>
      <c r="BV26" s="97" t="e">
        <f t="shared" si="82"/>
        <v>#NUM!</v>
      </c>
      <c r="BW26" s="123" t="e">
        <f t="shared" si="83"/>
        <v>#NUM!</v>
      </c>
      <c r="BX26" s="91">
        <f>(M26^2)*'Fly-Buck_Calc'!$B$80</f>
        <v>4.4458490504682624E-3</v>
      </c>
      <c r="BY26" s="92">
        <f t="shared" si="48"/>
        <v>5.0000000000000001E-3</v>
      </c>
      <c r="BZ26" s="92">
        <f t="shared" si="49"/>
        <v>0</v>
      </c>
      <c r="CA26" s="92">
        <f t="shared" si="50"/>
        <v>0</v>
      </c>
      <c r="CB26" s="92">
        <f t="shared" si="51"/>
        <v>0</v>
      </c>
      <c r="CC26" s="92">
        <f t="shared" si="52"/>
        <v>0</v>
      </c>
      <c r="CD26" s="92">
        <f t="shared" si="53"/>
        <v>0</v>
      </c>
      <c r="CE26" s="127">
        <f t="shared" si="84"/>
        <v>9.4458490504682625E-3</v>
      </c>
      <c r="CF26" s="91">
        <f t="shared" si="85"/>
        <v>1.8418517494797084E-2</v>
      </c>
      <c r="CG26" s="92">
        <f t="shared" si="54"/>
        <v>6.6960000000000006E-2</v>
      </c>
      <c r="CH26" s="206">
        <f t="shared" si="55"/>
        <v>3.7500000000000003E-3</v>
      </c>
      <c r="CI26" s="92">
        <f t="shared" si="56"/>
        <v>0.17856000000000002</v>
      </c>
      <c r="CJ26" s="93">
        <f t="shared" si="57"/>
        <v>0.09</v>
      </c>
      <c r="CK26" s="92">
        <f t="shared" si="58"/>
        <v>0.35768851749479713</v>
      </c>
      <c r="CL26" s="188">
        <f t="shared" si="59"/>
        <v>0.15</v>
      </c>
      <c r="CM26" s="206">
        <f t="shared" si="60"/>
        <v>0</v>
      </c>
      <c r="CN26" s="206">
        <f t="shared" si="61"/>
        <v>0</v>
      </c>
      <c r="CO26" s="206">
        <f t="shared" si="62"/>
        <v>0</v>
      </c>
      <c r="CP26" s="206">
        <f t="shared" si="63"/>
        <v>0</v>
      </c>
      <c r="CQ26" s="227">
        <f t="shared" si="64"/>
        <v>0</v>
      </c>
      <c r="CR26" s="231">
        <f t="shared" si="86"/>
        <v>0.15</v>
      </c>
      <c r="CS26" s="206">
        <f t="shared" si="65"/>
        <v>0.51713436654526546</v>
      </c>
      <c r="CT26" s="206">
        <f t="shared" si="66"/>
        <v>8.0171343665452657</v>
      </c>
      <c r="CU26" s="206">
        <f t="shared" si="67"/>
        <v>0.93549635781293405</v>
      </c>
      <c r="CV26">
        <f t="shared" si="68"/>
        <v>29.76</v>
      </c>
    </row>
    <row r="27" spans="1:100" ht="15" x14ac:dyDescent="0.25">
      <c r="A27" s="12" t="s">
        <v>339</v>
      </c>
      <c r="B27" s="12">
        <f>MAX(T4:T54)</f>
        <v>0.8125</v>
      </c>
      <c r="C27" s="12" t="s">
        <v>6</v>
      </c>
      <c r="E27" t="s">
        <v>34</v>
      </c>
      <c r="F27" s="2">
        <f>IF(VoutPri_FB&gt;0,(VoutPri_FB/(RR*ILavg_FlyB*Fsw))*(1-(VoutPri_FB/VinMax)),0)</f>
        <v>1.2499999999999998E-4</v>
      </c>
      <c r="K27">
        <v>23</v>
      </c>
      <c r="L27" s="91">
        <f t="shared" si="0"/>
        <v>30.840000000000003</v>
      </c>
      <c r="M27" s="93">
        <f t="shared" si="1"/>
        <v>0.24319066147859919</v>
      </c>
      <c r="N27" s="122">
        <f t="shared" si="69"/>
        <v>9.5114569822741033E-5</v>
      </c>
      <c r="O27" s="97">
        <f t="shared" si="70"/>
        <v>8.5603112840466924E-5</v>
      </c>
      <c r="P27" s="123">
        <f t="shared" si="71"/>
        <v>7.7821011673151743E-5</v>
      </c>
      <c r="Q27" s="127">
        <f t="shared" si="72"/>
        <v>0.48638132295719838</v>
      </c>
      <c r="R27" s="91">
        <f t="shared" si="73"/>
        <v>0.5</v>
      </c>
      <c r="S27" s="92">
        <f t="shared" si="2"/>
        <v>0.42801556420233466</v>
      </c>
      <c r="T27" s="92">
        <f t="shared" si="74"/>
        <v>0.71400778210116733</v>
      </c>
      <c r="U27" s="92">
        <f t="shared" si="3"/>
        <v>1.4073620772438087</v>
      </c>
      <c r="V27" s="93">
        <f t="shared" si="75"/>
        <v>0.35919443728194966</v>
      </c>
      <c r="W27" s="92">
        <f t="shared" si="76"/>
        <v>0.26434626145247042</v>
      </c>
      <c r="X27" s="117">
        <f t="shared" si="4"/>
        <v>0.9734848484848484</v>
      </c>
      <c r="Y27" s="103">
        <f t="shared" si="5"/>
        <v>0.1902291396454821</v>
      </c>
      <c r="Z27" s="103">
        <f t="shared" si="6"/>
        <v>0.69877842664123924</v>
      </c>
      <c r="AA27" s="118">
        <f t="shared" si="7"/>
        <v>0.48815088808605661</v>
      </c>
      <c r="AB27" s="117">
        <f t="shared" si="8"/>
        <v>0</v>
      </c>
      <c r="AC27" s="103">
        <f t="shared" si="9"/>
        <v>0</v>
      </c>
      <c r="AD27" s="103">
        <f t="shared" si="10"/>
        <v>0</v>
      </c>
      <c r="AE27" s="118">
        <f t="shared" si="11"/>
        <v>0</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21">
        <f t="shared" si="28"/>
        <v>4.9310548871236717E-2</v>
      </c>
      <c r="AW27" s="21">
        <f t="shared" si="77"/>
        <v>0</v>
      </c>
      <c r="AX27" s="139">
        <f t="shared" si="29"/>
        <v>0</v>
      </c>
      <c r="AY27" s="140">
        <v>23</v>
      </c>
      <c r="AZ27" s="141">
        <f t="shared" si="30"/>
        <v>0</v>
      </c>
      <c r="BA27" s="19">
        <f t="shared" si="31"/>
        <v>73.708663652182608</v>
      </c>
      <c r="BB27" s="142">
        <f t="shared" si="32"/>
        <v>2.7198496887655382E-2</v>
      </c>
      <c r="BC27" s="19">
        <f t="shared" si="78"/>
        <v>80.57689338688769</v>
      </c>
      <c r="BD27" s="79">
        <f t="shared" si="33"/>
        <v>2.9732873659761558E-2</v>
      </c>
      <c r="BE27" s="144" t="e">
        <f t="shared" si="34"/>
        <v>#NUM!</v>
      </c>
      <c r="BF27" s="148" t="e">
        <f t="shared" si="35"/>
        <v>#NUM!</v>
      </c>
      <c r="BG27" s="144" t="e">
        <f t="shared" si="36"/>
        <v>#NUM!</v>
      </c>
      <c r="BH27" s="152" t="e">
        <f t="shared" si="37"/>
        <v>#NUM!</v>
      </c>
      <c r="BI27" s="28">
        <f t="shared" si="38"/>
        <v>0</v>
      </c>
      <c r="BJ27" s="29">
        <f t="shared" si="39"/>
        <v>0</v>
      </c>
      <c r="BK27" s="28">
        <f t="shared" si="40"/>
        <v>0</v>
      </c>
      <c r="BL27" s="29">
        <f t="shared" si="41"/>
        <v>0</v>
      </c>
      <c r="BM27" s="28">
        <f t="shared" si="42"/>
        <v>0</v>
      </c>
      <c r="BN27" s="29">
        <f t="shared" si="43"/>
        <v>0</v>
      </c>
      <c r="BO27" s="28">
        <f t="shared" si="44"/>
        <v>0</v>
      </c>
      <c r="BP27" s="29">
        <f t="shared" si="45"/>
        <v>0</v>
      </c>
      <c r="BQ27" s="150">
        <f t="shared" si="46"/>
        <v>0</v>
      </c>
      <c r="BR27" s="29">
        <f t="shared" si="47"/>
        <v>0</v>
      </c>
      <c r="BS27" s="91" t="e">
        <f t="shared" si="79"/>
        <v>#NUM!</v>
      </c>
      <c r="BT27" s="206" t="e">
        <f t="shared" si="80"/>
        <v>#NUM!</v>
      </c>
      <c r="BU27" s="206" t="e">
        <f t="shared" si="81"/>
        <v>#NUM!</v>
      </c>
      <c r="BV27" s="97" t="e">
        <f t="shared" si="82"/>
        <v>#NUM!</v>
      </c>
      <c r="BW27" s="123" t="e">
        <f t="shared" si="83"/>
        <v>#NUM!</v>
      </c>
      <c r="BX27" s="91">
        <f>(M27^2)*'Fly-Buck_Calc'!$B$80</f>
        <v>4.1399188481279041E-3</v>
      </c>
      <c r="BY27" s="92">
        <f t="shared" si="48"/>
        <v>5.0000000000000001E-3</v>
      </c>
      <c r="BZ27" s="92">
        <f t="shared" si="49"/>
        <v>0</v>
      </c>
      <c r="CA27" s="92">
        <f t="shared" si="50"/>
        <v>0</v>
      </c>
      <c r="CB27" s="92">
        <f t="shared" si="51"/>
        <v>0</v>
      </c>
      <c r="CC27" s="92">
        <f t="shared" si="52"/>
        <v>0</v>
      </c>
      <c r="CD27" s="92">
        <f t="shared" si="53"/>
        <v>0</v>
      </c>
      <c r="CE27" s="127">
        <f t="shared" si="84"/>
        <v>9.1399188481279051E-3</v>
      </c>
      <c r="CF27" s="91">
        <f t="shared" si="85"/>
        <v>1.71510923708156E-2</v>
      </c>
      <c r="CG27" s="92">
        <f t="shared" si="54"/>
        <v>6.9390000000000021E-2</v>
      </c>
      <c r="CH27" s="206">
        <f t="shared" si="55"/>
        <v>3.7500000000000003E-3</v>
      </c>
      <c r="CI27" s="92">
        <f t="shared" si="56"/>
        <v>0.18504000000000004</v>
      </c>
      <c r="CJ27" s="93">
        <f t="shared" si="57"/>
        <v>0.09</v>
      </c>
      <c r="CK27" s="92">
        <f t="shared" si="58"/>
        <v>0.36533109237081562</v>
      </c>
      <c r="CL27" s="188">
        <f t="shared" si="59"/>
        <v>0.15</v>
      </c>
      <c r="CM27" s="206">
        <f t="shared" si="60"/>
        <v>0</v>
      </c>
      <c r="CN27" s="206">
        <f t="shared" si="61"/>
        <v>0</v>
      </c>
      <c r="CO27" s="206">
        <f t="shared" si="62"/>
        <v>0</v>
      </c>
      <c r="CP27" s="206">
        <f t="shared" si="63"/>
        <v>0</v>
      </c>
      <c r="CQ27" s="227">
        <f t="shared" si="64"/>
        <v>0</v>
      </c>
      <c r="CR27" s="231">
        <f t="shared" si="86"/>
        <v>0.15</v>
      </c>
      <c r="CS27" s="206">
        <f t="shared" si="65"/>
        <v>0.52447101121894357</v>
      </c>
      <c r="CT27" s="206">
        <f t="shared" si="66"/>
        <v>8.0244710112189441</v>
      </c>
      <c r="CU27" s="206">
        <f t="shared" si="67"/>
        <v>0.93464104855190011</v>
      </c>
      <c r="CV27">
        <f t="shared" si="68"/>
        <v>30.840000000000003</v>
      </c>
    </row>
    <row r="28" spans="1:100" x14ac:dyDescent="0.55000000000000004">
      <c r="A28" s="12" t="s">
        <v>338</v>
      </c>
      <c r="B28" s="12">
        <f>MAX(S4:S54)</f>
        <v>0.625</v>
      </c>
      <c r="C28" s="12" t="s">
        <v>6</v>
      </c>
      <c r="K28">
        <v>24</v>
      </c>
      <c r="L28" s="91">
        <f t="shared" si="0"/>
        <v>31.92</v>
      </c>
      <c r="M28" s="93">
        <f t="shared" si="1"/>
        <v>0.23496240601503759</v>
      </c>
      <c r="N28" s="122">
        <f t="shared" si="69"/>
        <v>9.8162071846282368E-5</v>
      </c>
      <c r="O28" s="97">
        <f t="shared" si="70"/>
        <v>8.8345864661654121E-5</v>
      </c>
      <c r="P28" s="123">
        <f t="shared" si="71"/>
        <v>8.0314422419685565E-5</v>
      </c>
      <c r="Q28" s="127">
        <f t="shared" si="72"/>
        <v>0.46992481203007519</v>
      </c>
      <c r="R28" s="91">
        <f t="shared" si="73"/>
        <v>0.5</v>
      </c>
      <c r="S28" s="92">
        <f t="shared" si="2"/>
        <v>0.44172932330827069</v>
      </c>
      <c r="T28" s="92">
        <f t="shared" si="74"/>
        <v>0.72086466165413532</v>
      </c>
      <c r="U28" s="92">
        <f t="shared" si="3"/>
        <v>1.3857152516502862</v>
      </c>
      <c r="V28" s="93">
        <f t="shared" si="75"/>
        <v>0.35372640306882219</v>
      </c>
      <c r="W28" s="92">
        <f t="shared" si="76"/>
        <v>0.26441451546318612</v>
      </c>
      <c r="X28" s="117">
        <f t="shared" si="4"/>
        <v>0.94326241134751776</v>
      </c>
      <c r="Y28" s="103">
        <f t="shared" si="5"/>
        <v>0.19632414369256476</v>
      </c>
      <c r="Z28" s="103">
        <f t="shared" si="6"/>
        <v>0.68799256572097589</v>
      </c>
      <c r="AA28" s="118">
        <f t="shared" si="7"/>
        <v>0.47258202514201841</v>
      </c>
      <c r="AB28" s="117">
        <f t="shared" si="8"/>
        <v>0</v>
      </c>
      <c r="AC28" s="103">
        <f t="shared" si="9"/>
        <v>0</v>
      </c>
      <c r="AD28" s="103">
        <f t="shared" si="10"/>
        <v>0</v>
      </c>
      <c r="AE28" s="118">
        <f t="shared" si="11"/>
        <v>0</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21">
        <f t="shared" si="28"/>
        <v>5.0890475035515054E-2</v>
      </c>
      <c r="AW28" s="21">
        <f t="shared" si="77"/>
        <v>0</v>
      </c>
      <c r="AX28" s="139">
        <f t="shared" si="29"/>
        <v>0</v>
      </c>
      <c r="AY28" s="140">
        <v>24</v>
      </c>
      <c r="AZ28" s="141">
        <f t="shared" si="30"/>
        <v>0</v>
      </c>
      <c r="BA28" s="19">
        <f t="shared" si="31"/>
        <v>80.158886319599702</v>
      </c>
      <c r="BB28" s="142">
        <f t="shared" si="32"/>
        <v>2.957862905193229E-2</v>
      </c>
      <c r="BC28" s="19">
        <f t="shared" si="78"/>
        <v>87.077173386164219</v>
      </c>
      <c r="BD28" s="79">
        <f t="shared" si="33"/>
        <v>3.2131476979494596E-2</v>
      </c>
      <c r="BE28" s="144" t="e">
        <f t="shared" si="34"/>
        <v>#NUM!</v>
      </c>
      <c r="BF28" s="148" t="e">
        <f t="shared" si="35"/>
        <v>#NUM!</v>
      </c>
      <c r="BG28" s="144" t="e">
        <f t="shared" si="36"/>
        <v>#NUM!</v>
      </c>
      <c r="BH28" s="152" t="e">
        <f t="shared" si="37"/>
        <v>#NUM!</v>
      </c>
      <c r="BI28" s="28">
        <f t="shared" si="38"/>
        <v>0</v>
      </c>
      <c r="BJ28" s="29">
        <f t="shared" si="39"/>
        <v>0</v>
      </c>
      <c r="BK28" s="28">
        <f t="shared" si="40"/>
        <v>0</v>
      </c>
      <c r="BL28" s="29">
        <f t="shared" si="41"/>
        <v>0</v>
      </c>
      <c r="BM28" s="28">
        <f t="shared" si="42"/>
        <v>0</v>
      </c>
      <c r="BN28" s="29">
        <f t="shared" si="43"/>
        <v>0</v>
      </c>
      <c r="BO28" s="28">
        <f t="shared" si="44"/>
        <v>0</v>
      </c>
      <c r="BP28" s="29">
        <f t="shared" si="45"/>
        <v>0</v>
      </c>
      <c r="BQ28" s="150">
        <f t="shared" si="46"/>
        <v>0</v>
      </c>
      <c r="BR28" s="29">
        <f t="shared" si="47"/>
        <v>0</v>
      </c>
      <c r="BS28" s="91" t="e">
        <f t="shared" si="79"/>
        <v>#NUM!</v>
      </c>
      <c r="BT28" s="206" t="e">
        <f t="shared" si="80"/>
        <v>#NUM!</v>
      </c>
      <c r="BU28" s="206" t="e">
        <f t="shared" si="81"/>
        <v>#NUM!</v>
      </c>
      <c r="BV28" s="97" t="e">
        <f t="shared" si="82"/>
        <v>#NUM!</v>
      </c>
      <c r="BW28" s="123" t="e">
        <f t="shared" si="83"/>
        <v>#NUM!</v>
      </c>
      <c r="BX28" s="91">
        <f>(M28^2)*'Fly-Buck_Calc'!$B$80</f>
        <v>3.8645132568262768E-3</v>
      </c>
      <c r="BY28" s="92">
        <f t="shared" si="48"/>
        <v>5.0000000000000001E-3</v>
      </c>
      <c r="BZ28" s="92">
        <f t="shared" si="49"/>
        <v>0</v>
      </c>
      <c r="CA28" s="92">
        <f t="shared" si="50"/>
        <v>0</v>
      </c>
      <c r="CB28" s="92">
        <f t="shared" si="51"/>
        <v>0</v>
      </c>
      <c r="CC28" s="92">
        <f t="shared" si="52"/>
        <v>0</v>
      </c>
      <c r="CD28" s="92">
        <f t="shared" si="53"/>
        <v>0</v>
      </c>
      <c r="CE28" s="127">
        <f t="shared" si="84"/>
        <v>8.8645132568262765E-3</v>
      </c>
      <c r="CF28" s="91">
        <f t="shared" si="85"/>
        <v>1.6010126349708859E-2</v>
      </c>
      <c r="CG28" s="92">
        <f t="shared" si="54"/>
        <v>7.1820000000000009E-2</v>
      </c>
      <c r="CH28" s="206">
        <f t="shared" si="55"/>
        <v>3.7500000000000003E-3</v>
      </c>
      <c r="CI28" s="92">
        <f t="shared" si="56"/>
        <v>0.19152000000000002</v>
      </c>
      <c r="CJ28" s="93">
        <f t="shared" si="57"/>
        <v>0.09</v>
      </c>
      <c r="CK28" s="92">
        <f t="shared" si="58"/>
        <v>0.3731001263497089</v>
      </c>
      <c r="CL28" s="188">
        <f t="shared" si="59"/>
        <v>0.15</v>
      </c>
      <c r="CM28" s="206">
        <f t="shared" si="60"/>
        <v>0</v>
      </c>
      <c r="CN28" s="206">
        <f t="shared" si="61"/>
        <v>0</v>
      </c>
      <c r="CO28" s="206">
        <f t="shared" si="62"/>
        <v>0</v>
      </c>
      <c r="CP28" s="206">
        <f t="shared" si="63"/>
        <v>0</v>
      </c>
      <c r="CQ28" s="227">
        <f t="shared" si="64"/>
        <v>0</v>
      </c>
      <c r="CR28" s="231">
        <f t="shared" si="86"/>
        <v>0.15</v>
      </c>
      <c r="CS28" s="206">
        <f t="shared" si="65"/>
        <v>0.53196463960653517</v>
      </c>
      <c r="CT28" s="206">
        <f t="shared" si="66"/>
        <v>8.0319646396065352</v>
      </c>
      <c r="CU28" s="206">
        <f t="shared" si="67"/>
        <v>0.93376905110072861</v>
      </c>
      <c r="CV28">
        <f t="shared" si="68"/>
        <v>31.92</v>
      </c>
    </row>
    <row r="29" spans="1:100" x14ac:dyDescent="0.55000000000000004">
      <c r="A29" s="12" t="s">
        <v>340</v>
      </c>
      <c r="B29" s="12">
        <f>MAX(V4:V54)</f>
        <v>0.97494657973313248</v>
      </c>
      <c r="C29" s="12" t="s">
        <v>6</v>
      </c>
      <c r="K29">
        <v>25</v>
      </c>
      <c r="L29" s="91">
        <f t="shared" si="0"/>
        <v>33</v>
      </c>
      <c r="M29" s="93">
        <f t="shared" si="1"/>
        <v>0.22727272727272727</v>
      </c>
      <c r="N29" s="122">
        <f t="shared" si="69"/>
        <v>1.01010101010101E-4</v>
      </c>
      <c r="O29" s="97">
        <f t="shared" si="70"/>
        <v>9.090909090909089E-5</v>
      </c>
      <c r="P29" s="123">
        <f t="shared" si="71"/>
        <v>8.2644628099173533E-5</v>
      </c>
      <c r="Q29" s="127">
        <f t="shared" si="72"/>
        <v>0.45454545454545453</v>
      </c>
      <c r="R29" s="91">
        <f t="shared" si="73"/>
        <v>0.5</v>
      </c>
      <c r="S29" s="92">
        <f t="shared" si="2"/>
        <v>0.45454545454545453</v>
      </c>
      <c r="T29" s="92">
        <f t="shared" si="74"/>
        <v>0.72727272727272729</v>
      </c>
      <c r="U29" s="92">
        <f t="shared" si="3"/>
        <v>1.3660726374743022</v>
      </c>
      <c r="V29" s="93">
        <f t="shared" si="75"/>
        <v>0.3485147909043293</v>
      </c>
      <c r="W29" s="92">
        <f t="shared" si="76"/>
        <v>0.264215190549493</v>
      </c>
      <c r="X29" s="117">
        <f t="shared" si="4"/>
        <v>0.91666666666666674</v>
      </c>
      <c r="Y29" s="103">
        <f t="shared" si="5"/>
        <v>0.20202020202020204</v>
      </c>
      <c r="Z29" s="103">
        <f t="shared" si="6"/>
        <v>0.67837189771331519</v>
      </c>
      <c r="AA29" s="118">
        <f t="shared" si="7"/>
        <v>0.45846311913518689</v>
      </c>
      <c r="AB29" s="117">
        <f t="shared" si="8"/>
        <v>0</v>
      </c>
      <c r="AC29" s="103">
        <f t="shared" si="9"/>
        <v>0</v>
      </c>
      <c r="AD29" s="103">
        <f t="shared" si="10"/>
        <v>0</v>
      </c>
      <c r="AE29" s="118">
        <f t="shared" si="11"/>
        <v>0</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21">
        <f t="shared" si="28"/>
        <v>5.2366987850858818E-2</v>
      </c>
      <c r="AW29" s="21">
        <f t="shared" si="77"/>
        <v>0</v>
      </c>
      <c r="AX29" s="139">
        <f t="shared" si="29"/>
        <v>0</v>
      </c>
      <c r="AY29" s="140">
        <v>25</v>
      </c>
      <c r="AZ29" s="141">
        <f t="shared" si="30"/>
        <v>0</v>
      </c>
      <c r="BA29" s="19">
        <f t="shared" si="31"/>
        <v>86.495153155006079</v>
      </c>
      <c r="BB29" s="142">
        <f t="shared" si="32"/>
        <v>3.1916711514197241E-2</v>
      </c>
      <c r="BC29" s="19">
        <f t="shared" si="78"/>
        <v>93.424375268339574</v>
      </c>
      <c r="BD29" s="79">
        <f t="shared" si="33"/>
        <v>3.4473594474017301E-2</v>
      </c>
      <c r="BE29" s="144" t="e">
        <f t="shared" si="34"/>
        <v>#NUM!</v>
      </c>
      <c r="BF29" s="148" t="e">
        <f t="shared" si="35"/>
        <v>#NUM!</v>
      </c>
      <c r="BG29" s="144" t="e">
        <f t="shared" si="36"/>
        <v>#NUM!</v>
      </c>
      <c r="BH29" s="152" t="e">
        <f t="shared" si="37"/>
        <v>#NUM!</v>
      </c>
      <c r="BI29" s="28">
        <f t="shared" si="38"/>
        <v>0</v>
      </c>
      <c r="BJ29" s="29">
        <f t="shared" si="39"/>
        <v>0</v>
      </c>
      <c r="BK29" s="28">
        <f t="shared" si="40"/>
        <v>0</v>
      </c>
      <c r="BL29" s="29">
        <f t="shared" si="41"/>
        <v>0</v>
      </c>
      <c r="BM29" s="28">
        <f t="shared" si="42"/>
        <v>0</v>
      </c>
      <c r="BN29" s="29">
        <f t="shared" si="43"/>
        <v>0</v>
      </c>
      <c r="BO29" s="28">
        <f t="shared" si="44"/>
        <v>0</v>
      </c>
      <c r="BP29" s="29">
        <f t="shared" si="45"/>
        <v>0</v>
      </c>
      <c r="BQ29" s="150">
        <f t="shared" si="46"/>
        <v>0</v>
      </c>
      <c r="BR29" s="29">
        <f t="shared" si="47"/>
        <v>0</v>
      </c>
      <c r="BS29" s="91" t="e">
        <f t="shared" si="79"/>
        <v>#NUM!</v>
      </c>
      <c r="BT29" s="206" t="e">
        <f t="shared" si="80"/>
        <v>#NUM!</v>
      </c>
      <c r="BU29" s="206" t="e">
        <f t="shared" si="81"/>
        <v>#NUM!</v>
      </c>
      <c r="BV29" s="97" t="e">
        <f t="shared" si="82"/>
        <v>#NUM!</v>
      </c>
      <c r="BW29" s="123" t="e">
        <f t="shared" si="83"/>
        <v>#NUM!</v>
      </c>
      <c r="BX29" s="91">
        <f>(M29^2)*'Fly-Buck_Calc'!$B$80</f>
        <v>3.6157024793388431E-3</v>
      </c>
      <c r="BY29" s="92">
        <f t="shared" si="48"/>
        <v>5.0000000000000001E-3</v>
      </c>
      <c r="BZ29" s="92">
        <f t="shared" si="49"/>
        <v>0</v>
      </c>
      <c r="CA29" s="92">
        <f t="shared" si="50"/>
        <v>0</v>
      </c>
      <c r="CB29" s="92">
        <f t="shared" si="51"/>
        <v>0</v>
      </c>
      <c r="CC29" s="92">
        <f t="shared" si="52"/>
        <v>0</v>
      </c>
      <c r="CD29" s="92">
        <f t="shared" si="53"/>
        <v>0</v>
      </c>
      <c r="CE29" s="127">
        <f t="shared" si="84"/>
        <v>8.6157024793388423E-3</v>
      </c>
      <c r="CF29" s="91">
        <f t="shared" si="85"/>
        <v>1.4979338842975204E-2</v>
      </c>
      <c r="CG29" s="92">
        <f t="shared" si="54"/>
        <v>7.425000000000001E-2</v>
      </c>
      <c r="CH29" s="206">
        <f t="shared" si="55"/>
        <v>3.7500000000000003E-3</v>
      </c>
      <c r="CI29" s="92">
        <f t="shared" si="56"/>
        <v>0.19800000000000001</v>
      </c>
      <c r="CJ29" s="93">
        <f t="shared" si="57"/>
        <v>0.09</v>
      </c>
      <c r="CK29" s="92">
        <f t="shared" si="58"/>
        <v>0.38097933884297519</v>
      </c>
      <c r="CL29" s="188">
        <f t="shared" si="59"/>
        <v>0.15</v>
      </c>
      <c r="CM29" s="206">
        <f t="shared" si="60"/>
        <v>0</v>
      </c>
      <c r="CN29" s="206">
        <f t="shared" si="61"/>
        <v>0</v>
      </c>
      <c r="CO29" s="206">
        <f t="shared" si="62"/>
        <v>0</v>
      </c>
      <c r="CP29" s="206">
        <f t="shared" si="63"/>
        <v>0</v>
      </c>
      <c r="CQ29" s="227">
        <f t="shared" si="64"/>
        <v>0</v>
      </c>
      <c r="CR29" s="231">
        <f t="shared" si="86"/>
        <v>0.15</v>
      </c>
      <c r="CS29" s="206">
        <f t="shared" si="65"/>
        <v>0.53959504132231406</v>
      </c>
      <c r="CT29" s="206">
        <f t="shared" si="66"/>
        <v>8.0395950413223147</v>
      </c>
      <c r="CU29" s="206">
        <f t="shared" si="67"/>
        <v>0.93288280833190262</v>
      </c>
      <c r="CV29">
        <f t="shared" si="68"/>
        <v>33</v>
      </c>
    </row>
    <row r="30" spans="1:100" x14ac:dyDescent="0.55000000000000004">
      <c r="A30" s="524" t="s">
        <v>314</v>
      </c>
      <c r="B30" s="524"/>
      <c r="C30" s="12"/>
      <c r="K30">
        <v>26</v>
      </c>
      <c r="L30" s="91">
        <f t="shared" si="0"/>
        <v>34.08</v>
      </c>
      <c r="M30" s="93">
        <f t="shared" si="1"/>
        <v>0.22007042253521128</v>
      </c>
      <c r="N30" s="122">
        <f t="shared" si="69"/>
        <v>1.0367762128325508E-4</v>
      </c>
      <c r="O30" s="97">
        <f t="shared" si="70"/>
        <v>9.330985915492957E-5</v>
      </c>
      <c r="P30" s="123">
        <f t="shared" si="71"/>
        <v>8.4827144686299609E-5</v>
      </c>
      <c r="Q30" s="127">
        <f t="shared" si="72"/>
        <v>0.44014084507042256</v>
      </c>
      <c r="R30" s="91">
        <f t="shared" si="73"/>
        <v>0.5</v>
      </c>
      <c r="S30" s="92">
        <f t="shared" si="2"/>
        <v>0.46654929577464788</v>
      </c>
      <c r="T30" s="92">
        <f t="shared" si="74"/>
        <v>0.73327464788732399</v>
      </c>
      <c r="U30" s="92">
        <f t="shared" si="3"/>
        <v>1.3481434625672277</v>
      </c>
      <c r="V30" s="93">
        <f t="shared" si="75"/>
        <v>0.34353884068147456</v>
      </c>
      <c r="W30" s="92">
        <f t="shared" si="76"/>
        <v>0.26379526944572967</v>
      </c>
      <c r="X30" s="117">
        <f t="shared" si="4"/>
        <v>0.89308176100628922</v>
      </c>
      <c r="Y30" s="103">
        <f t="shared" si="5"/>
        <v>0.20735524256651022</v>
      </c>
      <c r="Z30" s="103">
        <f t="shared" si="6"/>
        <v>0.66973641459050215</v>
      </c>
      <c r="AA30" s="118">
        <f t="shared" si="7"/>
        <v>0.44558597938954608</v>
      </c>
      <c r="AB30" s="117">
        <f t="shared" si="8"/>
        <v>0</v>
      </c>
      <c r="AC30" s="103">
        <f t="shared" si="9"/>
        <v>0</v>
      </c>
      <c r="AD30" s="103">
        <f t="shared" si="10"/>
        <v>0</v>
      </c>
      <c r="AE30" s="118">
        <f t="shared" si="11"/>
        <v>0</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21">
        <f t="shared" si="28"/>
        <v>5.3749918868046989E-2</v>
      </c>
      <c r="AW30" s="21">
        <f t="shared" si="77"/>
        <v>0</v>
      </c>
      <c r="AX30" s="139">
        <f t="shared" si="29"/>
        <v>0</v>
      </c>
      <c r="AY30" s="140">
        <v>26</v>
      </c>
      <c r="AZ30" s="141">
        <f t="shared" si="30"/>
        <v>0</v>
      </c>
      <c r="BA30" s="19">
        <f t="shared" si="31"/>
        <v>92.705084623207725</v>
      </c>
      <c r="BB30" s="142">
        <f t="shared" si="32"/>
        <v>3.420817622596365E-2</v>
      </c>
      <c r="BC30" s="19">
        <f t="shared" si="78"/>
        <v>99.611147072967086</v>
      </c>
      <c r="BD30" s="79">
        <f t="shared" si="33"/>
        <v>3.6756513269924851E-2</v>
      </c>
      <c r="BE30" s="144" t="e">
        <f t="shared" si="34"/>
        <v>#NUM!</v>
      </c>
      <c r="BF30" s="148" t="e">
        <f t="shared" si="35"/>
        <v>#NUM!</v>
      </c>
      <c r="BG30" s="144" t="e">
        <f t="shared" si="36"/>
        <v>#NUM!</v>
      </c>
      <c r="BH30" s="152" t="e">
        <f t="shared" si="37"/>
        <v>#NUM!</v>
      </c>
      <c r="BI30" s="28">
        <f t="shared" si="38"/>
        <v>0</v>
      </c>
      <c r="BJ30" s="29">
        <f t="shared" si="39"/>
        <v>0</v>
      </c>
      <c r="BK30" s="28">
        <f t="shared" si="40"/>
        <v>0</v>
      </c>
      <c r="BL30" s="29">
        <f t="shared" si="41"/>
        <v>0</v>
      </c>
      <c r="BM30" s="28">
        <f t="shared" si="42"/>
        <v>0</v>
      </c>
      <c r="BN30" s="29">
        <f t="shared" si="43"/>
        <v>0</v>
      </c>
      <c r="BO30" s="28">
        <f t="shared" si="44"/>
        <v>0</v>
      </c>
      <c r="BP30" s="29">
        <f t="shared" si="45"/>
        <v>0</v>
      </c>
      <c r="BQ30" s="150">
        <f t="shared" si="46"/>
        <v>0</v>
      </c>
      <c r="BR30" s="29">
        <f t="shared" si="47"/>
        <v>0</v>
      </c>
      <c r="BS30" s="91" t="e">
        <f t="shared" si="79"/>
        <v>#NUM!</v>
      </c>
      <c r="BT30" s="206" t="e">
        <f t="shared" si="80"/>
        <v>#NUM!</v>
      </c>
      <c r="BU30" s="206" t="e">
        <f t="shared" si="81"/>
        <v>#NUM!</v>
      </c>
      <c r="BV30" s="97" t="e">
        <f t="shared" si="82"/>
        <v>#NUM!</v>
      </c>
      <c r="BW30" s="123" t="e">
        <f t="shared" si="83"/>
        <v>#NUM!</v>
      </c>
      <c r="BX30" s="91">
        <f>(M30^2)*'Fly-Buck_Calc'!$B$80</f>
        <v>3.3901693612378501E-3</v>
      </c>
      <c r="BY30" s="92">
        <f t="shared" si="48"/>
        <v>5.0000000000000001E-3</v>
      </c>
      <c r="BZ30" s="92">
        <f t="shared" si="49"/>
        <v>0</v>
      </c>
      <c r="CA30" s="92">
        <f t="shared" si="50"/>
        <v>0</v>
      </c>
      <c r="CB30" s="92">
        <f t="shared" si="51"/>
        <v>0</v>
      </c>
      <c r="CC30" s="92">
        <f t="shared" si="52"/>
        <v>0</v>
      </c>
      <c r="CD30" s="92">
        <f t="shared" si="53"/>
        <v>0</v>
      </c>
      <c r="CE30" s="127">
        <f t="shared" si="84"/>
        <v>8.3901693612378498E-3</v>
      </c>
      <c r="CF30" s="91">
        <f t="shared" si="85"/>
        <v>1.4044987353699663E-2</v>
      </c>
      <c r="CG30" s="92">
        <f t="shared" si="54"/>
        <v>7.6680000000000012E-2</v>
      </c>
      <c r="CH30" s="206">
        <f t="shared" si="55"/>
        <v>3.7500000000000003E-3</v>
      </c>
      <c r="CI30" s="92">
        <f t="shared" si="56"/>
        <v>0.20448</v>
      </c>
      <c r="CJ30" s="93">
        <f t="shared" si="57"/>
        <v>0.09</v>
      </c>
      <c r="CK30" s="92">
        <f t="shared" si="58"/>
        <v>0.38895498735369971</v>
      </c>
      <c r="CL30" s="188">
        <f t="shared" si="59"/>
        <v>0.15</v>
      </c>
      <c r="CM30" s="206">
        <f t="shared" si="60"/>
        <v>0</v>
      </c>
      <c r="CN30" s="206">
        <f t="shared" si="61"/>
        <v>0</v>
      </c>
      <c r="CO30" s="206">
        <f t="shared" si="62"/>
        <v>0</v>
      </c>
      <c r="CP30" s="206">
        <f t="shared" si="63"/>
        <v>0</v>
      </c>
      <c r="CQ30" s="227">
        <f t="shared" si="64"/>
        <v>0</v>
      </c>
      <c r="CR30" s="231">
        <f t="shared" si="86"/>
        <v>0.15</v>
      </c>
      <c r="CS30" s="206">
        <f t="shared" si="65"/>
        <v>0.54734515671493755</v>
      </c>
      <c r="CT30" s="206">
        <f t="shared" si="66"/>
        <v>8.0473451567149379</v>
      </c>
      <c r="CU30" s="206">
        <f t="shared" si="67"/>
        <v>0.93198438167421993</v>
      </c>
      <c r="CV30">
        <f t="shared" si="68"/>
        <v>34.08</v>
      </c>
    </row>
    <row r="31" spans="1:100" x14ac:dyDescent="0.55000000000000004">
      <c r="A31" s="12" t="s">
        <v>342</v>
      </c>
      <c r="B31" s="8" t="e">
        <f>MAX(U4:U54)</f>
        <v>#NUM!</v>
      </c>
      <c r="C31" s="12" t="s">
        <v>6</v>
      </c>
      <c r="K31">
        <v>27</v>
      </c>
      <c r="L31" s="91">
        <f t="shared" si="0"/>
        <v>35.160000000000004</v>
      </c>
      <c r="M31" s="93">
        <f t="shared" si="1"/>
        <v>0.21331058020477814</v>
      </c>
      <c r="N31" s="122">
        <f t="shared" si="69"/>
        <v>1.0618126659082292E-4</v>
      </c>
      <c r="O31" s="97">
        <f t="shared" si="70"/>
        <v>9.5563139931740613E-5</v>
      </c>
      <c r="P31" s="123">
        <f t="shared" si="71"/>
        <v>8.6875581756127833E-5</v>
      </c>
      <c r="Q31" s="127">
        <f t="shared" si="72"/>
        <v>0.42662116040955628</v>
      </c>
      <c r="R31" s="91">
        <f t="shared" si="73"/>
        <v>0.5</v>
      </c>
      <c r="S31" s="92">
        <f t="shared" si="2"/>
        <v>0.47781569965870307</v>
      </c>
      <c r="T31" s="92">
        <f t="shared" si="74"/>
        <v>0.73890784982935154</v>
      </c>
      <c r="U31" s="92">
        <f t="shared" si="3"/>
        <v>1.3316926965525784</v>
      </c>
      <c r="V31" s="93">
        <f t="shared" si="75"/>
        <v>0.3387802185871906</v>
      </c>
      <c r="W31" s="92">
        <f t="shared" si="76"/>
        <v>0.26319314747668782</v>
      </c>
      <c r="X31" s="117">
        <f t="shared" si="4"/>
        <v>0.87202380952380942</v>
      </c>
      <c r="Y31" s="103">
        <f t="shared" si="5"/>
        <v>0.21236253318164588</v>
      </c>
      <c r="Z31" s="103">
        <f t="shared" si="6"/>
        <v>0.66194165197692523</v>
      </c>
      <c r="AA31" s="118">
        <f t="shared" si="7"/>
        <v>0.43378191596923538</v>
      </c>
      <c r="AB31" s="117">
        <f t="shared" si="8"/>
        <v>0</v>
      </c>
      <c r="AC31" s="103">
        <f t="shared" si="9"/>
        <v>0</v>
      </c>
      <c r="AD31" s="103">
        <f t="shared" si="10"/>
        <v>0</v>
      </c>
      <c r="AE31" s="118">
        <f t="shared" si="11"/>
        <v>0</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21">
        <f t="shared" si="28"/>
        <v>5.50478916657492E-2</v>
      </c>
      <c r="AW31" s="21">
        <f t="shared" si="77"/>
        <v>0</v>
      </c>
      <c r="AX31" s="139">
        <f t="shared" si="29"/>
        <v>0</v>
      </c>
      <c r="AY31" s="140">
        <v>27</v>
      </c>
      <c r="AZ31" s="141">
        <f t="shared" si="30"/>
        <v>0</v>
      </c>
      <c r="BA31" s="19">
        <f t="shared" si="31"/>
        <v>98.779951310328599</v>
      </c>
      <c r="BB31" s="142">
        <f t="shared" si="32"/>
        <v>3.6449802033511253E-2</v>
      </c>
      <c r="BC31" s="19">
        <f t="shared" si="78"/>
        <v>105.63324441836126</v>
      </c>
      <c r="BD31" s="79">
        <f t="shared" si="33"/>
        <v>3.8978667190375307E-2</v>
      </c>
      <c r="BE31" s="144" t="e">
        <f t="shared" si="34"/>
        <v>#NUM!</v>
      </c>
      <c r="BF31" s="148" t="e">
        <f t="shared" si="35"/>
        <v>#NUM!</v>
      </c>
      <c r="BG31" s="144" t="e">
        <f t="shared" si="36"/>
        <v>#NUM!</v>
      </c>
      <c r="BH31" s="152" t="e">
        <f t="shared" si="37"/>
        <v>#NUM!</v>
      </c>
      <c r="BI31" s="28">
        <f t="shared" si="38"/>
        <v>0</v>
      </c>
      <c r="BJ31" s="29">
        <f t="shared" si="39"/>
        <v>0</v>
      </c>
      <c r="BK31" s="28">
        <f t="shared" si="40"/>
        <v>0</v>
      </c>
      <c r="BL31" s="29">
        <f t="shared" si="41"/>
        <v>0</v>
      </c>
      <c r="BM31" s="28">
        <f t="shared" si="42"/>
        <v>0</v>
      </c>
      <c r="BN31" s="29">
        <f t="shared" si="43"/>
        <v>0</v>
      </c>
      <c r="BO31" s="28">
        <f t="shared" si="44"/>
        <v>0</v>
      </c>
      <c r="BP31" s="29">
        <f t="shared" si="45"/>
        <v>0</v>
      </c>
      <c r="BQ31" s="150">
        <f t="shared" si="46"/>
        <v>0</v>
      </c>
      <c r="BR31" s="29">
        <f t="shared" si="47"/>
        <v>0</v>
      </c>
      <c r="BS31" s="91" t="e">
        <f t="shared" si="79"/>
        <v>#NUM!</v>
      </c>
      <c r="BT31" s="206" t="e">
        <f t="shared" si="80"/>
        <v>#NUM!</v>
      </c>
      <c r="BU31" s="206" t="e">
        <f t="shared" si="81"/>
        <v>#NUM!</v>
      </c>
      <c r="BV31" s="97" t="e">
        <f t="shared" si="82"/>
        <v>#NUM!</v>
      </c>
      <c r="BW31" s="123" t="e">
        <f t="shared" si="83"/>
        <v>#NUM!</v>
      </c>
      <c r="BX31" s="91">
        <f>(M31^2)*'Fly-Buck_Calc'!$B$80</f>
        <v>3.1850982539109365E-3</v>
      </c>
      <c r="BY31" s="92">
        <f t="shared" si="48"/>
        <v>5.0000000000000001E-3</v>
      </c>
      <c r="BZ31" s="92">
        <f t="shared" si="49"/>
        <v>0</v>
      </c>
      <c r="CA31" s="92">
        <f t="shared" si="50"/>
        <v>0</v>
      </c>
      <c r="CB31" s="92">
        <f t="shared" si="51"/>
        <v>0</v>
      </c>
      <c r="CC31" s="92">
        <f t="shared" si="52"/>
        <v>0</v>
      </c>
      <c r="CD31" s="92">
        <f t="shared" si="53"/>
        <v>0</v>
      </c>
      <c r="CE31" s="127">
        <f t="shared" si="84"/>
        <v>8.1850982539109357E-3</v>
      </c>
      <c r="CF31" s="91">
        <f t="shared" si="85"/>
        <v>1.3195407051916736E-2</v>
      </c>
      <c r="CG31" s="92">
        <f t="shared" si="54"/>
        <v>7.9110000000000028E-2</v>
      </c>
      <c r="CH31" s="206">
        <f t="shared" si="55"/>
        <v>3.7500000000000003E-3</v>
      </c>
      <c r="CI31" s="92">
        <f t="shared" si="56"/>
        <v>0.21096000000000004</v>
      </c>
      <c r="CJ31" s="93">
        <f t="shared" si="57"/>
        <v>0.09</v>
      </c>
      <c r="CK31" s="92">
        <f t="shared" si="58"/>
        <v>0.39701540705191685</v>
      </c>
      <c r="CL31" s="188">
        <f t="shared" si="59"/>
        <v>0.15</v>
      </c>
      <c r="CM31" s="206">
        <f t="shared" si="60"/>
        <v>0</v>
      </c>
      <c r="CN31" s="206">
        <f t="shared" si="61"/>
        <v>0</v>
      </c>
      <c r="CO31" s="206">
        <f t="shared" si="62"/>
        <v>0</v>
      </c>
      <c r="CP31" s="206">
        <f t="shared" si="63"/>
        <v>0</v>
      </c>
      <c r="CQ31" s="227">
        <f t="shared" si="64"/>
        <v>0</v>
      </c>
      <c r="CR31" s="231">
        <f t="shared" si="86"/>
        <v>0.15</v>
      </c>
      <c r="CS31" s="206">
        <f t="shared" si="65"/>
        <v>0.55520050530582776</v>
      </c>
      <c r="CT31" s="206">
        <f t="shared" si="66"/>
        <v>8.0552005053058284</v>
      </c>
      <c r="CU31" s="206">
        <f t="shared" si="67"/>
        <v>0.93107552010156336</v>
      </c>
      <c r="CV31">
        <f t="shared" si="68"/>
        <v>35.160000000000004</v>
      </c>
    </row>
    <row r="32" spans="1:100" x14ac:dyDescent="0.55000000000000004">
      <c r="A32" s="12" t="s">
        <v>341</v>
      </c>
      <c r="B32" s="8" t="e">
        <f>VLOOKUP(ILrms_Total_Max_FB,U4:AU54,2,FALSE)</f>
        <v>#NUM!</v>
      </c>
      <c r="C32" s="12" t="s">
        <v>6</v>
      </c>
      <c r="K32">
        <v>28</v>
      </c>
      <c r="L32" s="91">
        <f t="shared" si="0"/>
        <v>36.24</v>
      </c>
      <c r="M32" s="93">
        <f t="shared" si="1"/>
        <v>0.20695364238410596</v>
      </c>
      <c r="N32" s="122">
        <f t="shared" si="69"/>
        <v>1.0853568800588668E-4</v>
      </c>
      <c r="O32" s="97">
        <f t="shared" si="70"/>
        <v>9.7682119205297994E-5</v>
      </c>
      <c r="P32" s="123">
        <f t="shared" si="71"/>
        <v>8.8801926550270908E-5</v>
      </c>
      <c r="Q32" s="127">
        <f t="shared" si="72"/>
        <v>0.41390728476821192</v>
      </c>
      <c r="R32" s="91">
        <f t="shared" si="73"/>
        <v>0.5</v>
      </c>
      <c r="S32" s="92">
        <f t="shared" si="2"/>
        <v>0.48841059602649012</v>
      </c>
      <c r="T32" s="92">
        <f t="shared" si="74"/>
        <v>0.74420529801324509</v>
      </c>
      <c r="U32" s="92">
        <f t="shared" si="3"/>
        <v>1.3165280420894332</v>
      </c>
      <c r="V32" s="93">
        <f t="shared" si="75"/>
        <v>0.33422264665273632</v>
      </c>
      <c r="W32" s="92">
        <f t="shared" si="76"/>
        <v>0.26244040740616031</v>
      </c>
      <c r="X32" s="117">
        <f t="shared" si="4"/>
        <v>0.85310734463276838</v>
      </c>
      <c r="Y32" s="103">
        <f t="shared" si="5"/>
        <v>0.21707137601177343</v>
      </c>
      <c r="Z32" s="103">
        <f t="shared" si="6"/>
        <v>0.65487026362446454</v>
      </c>
      <c r="AA32" s="118">
        <f t="shared" si="7"/>
        <v>0.42291259401864079</v>
      </c>
      <c r="AB32" s="117">
        <f t="shared" si="8"/>
        <v>0</v>
      </c>
      <c r="AC32" s="103">
        <f t="shared" si="9"/>
        <v>0</v>
      </c>
      <c r="AD32" s="103">
        <f t="shared" si="10"/>
        <v>0</v>
      </c>
      <c r="AE32" s="118">
        <f t="shared" si="11"/>
        <v>0</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21">
        <f t="shared" si="28"/>
        <v>5.626850184636982E-2</v>
      </c>
      <c r="AW32" s="21">
        <f t="shared" si="77"/>
        <v>0</v>
      </c>
      <c r="AX32" s="139">
        <f t="shared" si="29"/>
        <v>0</v>
      </c>
      <c r="AY32" s="140">
        <v>28</v>
      </c>
      <c r="AZ32" s="141">
        <f t="shared" si="30"/>
        <v>0</v>
      </c>
      <c r="BA32" s="19">
        <f t="shared" si="31"/>
        <v>104.71391780890843</v>
      </c>
      <c r="BB32" s="142">
        <f t="shared" si="32"/>
        <v>3.8639435671487213E-2</v>
      </c>
      <c r="BC32" s="19">
        <f t="shared" si="78"/>
        <v>111.48881194170839</v>
      </c>
      <c r="BD32" s="79">
        <f t="shared" si="33"/>
        <v>4.1139371606490394E-2</v>
      </c>
      <c r="BE32" s="144" t="e">
        <f t="shared" si="34"/>
        <v>#NUM!</v>
      </c>
      <c r="BF32" s="148" t="e">
        <f t="shared" si="35"/>
        <v>#NUM!</v>
      </c>
      <c r="BG32" s="144" t="e">
        <f t="shared" si="36"/>
        <v>#NUM!</v>
      </c>
      <c r="BH32" s="152" t="e">
        <f t="shared" si="37"/>
        <v>#NUM!</v>
      </c>
      <c r="BI32" s="28">
        <f t="shared" si="38"/>
        <v>0</v>
      </c>
      <c r="BJ32" s="29">
        <f t="shared" si="39"/>
        <v>0</v>
      </c>
      <c r="BK32" s="28">
        <f t="shared" si="40"/>
        <v>0</v>
      </c>
      <c r="BL32" s="29">
        <f t="shared" si="41"/>
        <v>0</v>
      </c>
      <c r="BM32" s="28">
        <f t="shared" si="42"/>
        <v>0</v>
      </c>
      <c r="BN32" s="29">
        <f t="shared" si="43"/>
        <v>0</v>
      </c>
      <c r="BO32" s="28">
        <f t="shared" si="44"/>
        <v>0</v>
      </c>
      <c r="BP32" s="29">
        <f t="shared" si="45"/>
        <v>0</v>
      </c>
      <c r="BQ32" s="150">
        <f t="shared" si="46"/>
        <v>0</v>
      </c>
      <c r="BR32" s="29">
        <f t="shared" si="47"/>
        <v>0</v>
      </c>
      <c r="BS32" s="91" t="e">
        <f t="shared" si="79"/>
        <v>#NUM!</v>
      </c>
      <c r="BT32" s="206" t="e">
        <f t="shared" si="80"/>
        <v>#NUM!</v>
      </c>
      <c r="BU32" s="206" t="e">
        <f t="shared" si="81"/>
        <v>#NUM!</v>
      </c>
      <c r="BV32" s="97" t="e">
        <f t="shared" si="82"/>
        <v>#NUM!</v>
      </c>
      <c r="BW32" s="123" t="e">
        <f t="shared" si="83"/>
        <v>#NUM!</v>
      </c>
      <c r="BX32" s="91">
        <f>(M32^2)*'Fly-Buck_Calc'!$B$80</f>
        <v>2.9980867067233899E-3</v>
      </c>
      <c r="BY32" s="92">
        <f t="shared" si="48"/>
        <v>5.0000000000000001E-3</v>
      </c>
      <c r="BZ32" s="92">
        <f t="shared" si="49"/>
        <v>0</v>
      </c>
      <c r="CA32" s="92">
        <f t="shared" si="50"/>
        <v>0</v>
      </c>
      <c r="CB32" s="92">
        <f t="shared" si="51"/>
        <v>0</v>
      </c>
      <c r="CC32" s="92">
        <f t="shared" si="52"/>
        <v>0</v>
      </c>
      <c r="CD32" s="92">
        <f t="shared" si="53"/>
        <v>0</v>
      </c>
      <c r="CE32" s="127">
        <f t="shared" si="84"/>
        <v>7.9980867067233896E-3</v>
      </c>
      <c r="CF32" s="91">
        <f t="shared" si="85"/>
        <v>1.2420644927854042E-2</v>
      </c>
      <c r="CG32" s="92">
        <f t="shared" si="54"/>
        <v>8.1540000000000015E-2</v>
      </c>
      <c r="CH32" s="206">
        <f t="shared" si="55"/>
        <v>3.7500000000000003E-3</v>
      </c>
      <c r="CI32" s="92">
        <f t="shared" si="56"/>
        <v>0.21744000000000002</v>
      </c>
      <c r="CJ32" s="93">
        <f t="shared" si="57"/>
        <v>0.09</v>
      </c>
      <c r="CK32" s="92">
        <f t="shared" si="58"/>
        <v>0.40515064492785402</v>
      </c>
      <c r="CL32" s="188">
        <f t="shared" si="59"/>
        <v>0.15</v>
      </c>
      <c r="CM32" s="206">
        <f t="shared" si="60"/>
        <v>0</v>
      </c>
      <c r="CN32" s="206">
        <f t="shared" si="61"/>
        <v>0</v>
      </c>
      <c r="CO32" s="206">
        <f t="shared" si="62"/>
        <v>0</v>
      </c>
      <c r="CP32" s="206">
        <f t="shared" si="63"/>
        <v>0</v>
      </c>
      <c r="CQ32" s="227">
        <f t="shared" si="64"/>
        <v>0</v>
      </c>
      <c r="CR32" s="231">
        <f t="shared" si="86"/>
        <v>0.15</v>
      </c>
      <c r="CS32" s="206">
        <f t="shared" si="65"/>
        <v>0.56314873163457746</v>
      </c>
      <c r="CT32" s="206">
        <f t="shared" si="66"/>
        <v>8.0631487316345769</v>
      </c>
      <c r="CU32" s="206">
        <f t="shared" si="67"/>
        <v>0.93015771500962818</v>
      </c>
      <c r="CV32">
        <f t="shared" si="68"/>
        <v>36.24</v>
      </c>
    </row>
    <row r="33" spans="1:100" x14ac:dyDescent="0.55000000000000004">
      <c r="A33" s="12" t="s">
        <v>113</v>
      </c>
      <c r="B33" s="8" t="e">
        <f>VLOOKUP(ILrms_Total_Max_FB,U4:AU54,6,FALSE)</f>
        <v>#NUM!</v>
      </c>
      <c r="C33" s="12" t="s">
        <v>6</v>
      </c>
      <c r="K33">
        <v>29</v>
      </c>
      <c r="L33" s="91">
        <f t="shared" si="0"/>
        <v>37.32</v>
      </c>
      <c r="M33" s="93">
        <f t="shared" si="1"/>
        <v>0.20096463022508038</v>
      </c>
      <c r="N33" s="122">
        <f t="shared" si="69"/>
        <v>1.1075384065737763E-4</v>
      </c>
      <c r="O33" s="97">
        <f t="shared" si="70"/>
        <v>9.9678456591639853E-5</v>
      </c>
      <c r="P33" s="123">
        <f t="shared" si="71"/>
        <v>9.0616778719672595E-5</v>
      </c>
      <c r="Q33" s="127">
        <f t="shared" si="72"/>
        <v>0.40192926045016075</v>
      </c>
      <c r="R33" s="91">
        <f t="shared" si="73"/>
        <v>0.5</v>
      </c>
      <c r="S33" s="92">
        <f t="shared" si="2"/>
        <v>0.49839228295819932</v>
      </c>
      <c r="T33" s="92">
        <f t="shared" si="74"/>
        <v>0.74919614147909963</v>
      </c>
      <c r="U33" s="92">
        <f t="shared" si="3"/>
        <v>1.3024904503770294</v>
      </c>
      <c r="V33" s="93">
        <f t="shared" si="75"/>
        <v>0.32985160133380392</v>
      </c>
      <c r="W33" s="92">
        <f t="shared" si="76"/>
        <v>0.2615631784119688</v>
      </c>
      <c r="X33" s="117">
        <f t="shared" si="4"/>
        <v>0.83602150537634401</v>
      </c>
      <c r="Y33" s="103">
        <f t="shared" si="5"/>
        <v>0.22150768131475529</v>
      </c>
      <c r="Z33" s="103">
        <f t="shared" si="6"/>
        <v>0.64842589936215034</v>
      </c>
      <c r="AA33" s="118">
        <f t="shared" si="7"/>
        <v>0.41286335144162833</v>
      </c>
      <c r="AB33" s="117">
        <f t="shared" si="8"/>
        <v>0</v>
      </c>
      <c r="AC33" s="103">
        <f t="shared" si="9"/>
        <v>0</v>
      </c>
      <c r="AD33" s="103">
        <f t="shared" si="10"/>
        <v>0</v>
      </c>
      <c r="AE33" s="118">
        <f t="shared" si="11"/>
        <v>0</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21">
        <f t="shared" si="28"/>
        <v>5.7418465778594392E-2</v>
      </c>
      <c r="AW33" s="21">
        <f t="shared" si="77"/>
        <v>0</v>
      </c>
      <c r="AX33" s="139">
        <f t="shared" si="29"/>
        <v>0</v>
      </c>
      <c r="AY33" s="140">
        <v>29</v>
      </c>
      <c r="AZ33" s="141">
        <f t="shared" si="30"/>
        <v>0</v>
      </c>
      <c r="BA33" s="19">
        <f t="shared" si="31"/>
        <v>110.50343679100895</v>
      </c>
      <c r="BB33" s="142">
        <f t="shared" si="32"/>
        <v>4.0775768175882306E-2</v>
      </c>
      <c r="BC33" s="19">
        <f t="shared" si="78"/>
        <v>117.17782098822154</v>
      </c>
      <c r="BD33" s="79">
        <f t="shared" si="33"/>
        <v>4.3238615944653745E-2</v>
      </c>
      <c r="BE33" s="144" t="e">
        <f t="shared" si="34"/>
        <v>#NUM!</v>
      </c>
      <c r="BF33" s="148" t="e">
        <f t="shared" si="35"/>
        <v>#NUM!</v>
      </c>
      <c r="BG33" s="144" t="e">
        <f t="shared" si="36"/>
        <v>#NUM!</v>
      </c>
      <c r="BH33" s="152" t="e">
        <f t="shared" si="37"/>
        <v>#NUM!</v>
      </c>
      <c r="BI33" s="28">
        <f t="shared" si="38"/>
        <v>0</v>
      </c>
      <c r="BJ33" s="29">
        <f t="shared" si="39"/>
        <v>0</v>
      </c>
      <c r="BK33" s="28">
        <f t="shared" si="40"/>
        <v>0</v>
      </c>
      <c r="BL33" s="29">
        <f t="shared" si="41"/>
        <v>0</v>
      </c>
      <c r="BM33" s="28">
        <f t="shared" si="42"/>
        <v>0</v>
      </c>
      <c r="BN33" s="29">
        <f t="shared" si="43"/>
        <v>0</v>
      </c>
      <c r="BO33" s="28">
        <f t="shared" si="44"/>
        <v>0</v>
      </c>
      <c r="BP33" s="29">
        <f t="shared" si="45"/>
        <v>0</v>
      </c>
      <c r="BQ33" s="150">
        <f t="shared" si="46"/>
        <v>0</v>
      </c>
      <c r="BR33" s="29">
        <f t="shared" si="47"/>
        <v>0</v>
      </c>
      <c r="BS33" s="91" t="e">
        <f t="shared" si="79"/>
        <v>#NUM!</v>
      </c>
      <c r="BT33" s="206" t="e">
        <f t="shared" si="80"/>
        <v>#NUM!</v>
      </c>
      <c r="BU33" s="206" t="e">
        <f t="shared" si="81"/>
        <v>#NUM!</v>
      </c>
      <c r="BV33" s="97" t="e">
        <f t="shared" si="82"/>
        <v>#NUM!</v>
      </c>
      <c r="BW33" s="123" t="e">
        <f t="shared" si="83"/>
        <v>#NUM!</v>
      </c>
      <c r="BX33" s="91">
        <f>(M33^2)*'Fly-Buck_Calc'!$B$80</f>
        <v>2.8270747821052306E-3</v>
      </c>
      <c r="BY33" s="92">
        <f t="shared" si="48"/>
        <v>5.0000000000000001E-3</v>
      </c>
      <c r="BZ33" s="92">
        <f t="shared" si="49"/>
        <v>0</v>
      </c>
      <c r="CA33" s="92">
        <f t="shared" si="50"/>
        <v>0</v>
      </c>
      <c r="CB33" s="92">
        <f t="shared" si="51"/>
        <v>0</v>
      </c>
      <c r="CC33" s="92">
        <f t="shared" si="52"/>
        <v>0</v>
      </c>
      <c r="CD33" s="92">
        <f t="shared" si="53"/>
        <v>0</v>
      </c>
      <c r="CE33" s="127">
        <f t="shared" si="84"/>
        <v>7.8270747821052311E-3</v>
      </c>
      <c r="CF33" s="91">
        <f t="shared" si="85"/>
        <v>1.1712166954435953E-2</v>
      </c>
      <c r="CG33" s="92">
        <f t="shared" si="54"/>
        <v>8.3970000000000017E-2</v>
      </c>
      <c r="CH33" s="206">
        <f t="shared" si="55"/>
        <v>3.7500000000000003E-3</v>
      </c>
      <c r="CI33" s="92">
        <f t="shared" si="56"/>
        <v>0.22392000000000001</v>
      </c>
      <c r="CJ33" s="93">
        <f t="shared" si="57"/>
        <v>0.09</v>
      </c>
      <c r="CK33" s="92">
        <f t="shared" si="58"/>
        <v>0.413352166954436</v>
      </c>
      <c r="CL33" s="188">
        <f t="shared" si="59"/>
        <v>0.15</v>
      </c>
      <c r="CM33" s="206">
        <f t="shared" si="60"/>
        <v>0</v>
      </c>
      <c r="CN33" s="206">
        <f t="shared" si="61"/>
        <v>0</v>
      </c>
      <c r="CO33" s="206">
        <f t="shared" si="62"/>
        <v>0</v>
      </c>
      <c r="CP33" s="206">
        <f t="shared" si="63"/>
        <v>0</v>
      </c>
      <c r="CQ33" s="227">
        <f t="shared" si="64"/>
        <v>0</v>
      </c>
      <c r="CR33" s="231">
        <f t="shared" si="86"/>
        <v>0.15</v>
      </c>
      <c r="CS33" s="206">
        <f t="shared" si="65"/>
        <v>0.57117924173654122</v>
      </c>
      <c r="CT33" s="206">
        <f t="shared" si="66"/>
        <v>8.0711792417365409</v>
      </c>
      <c r="CU33" s="206">
        <f t="shared" si="67"/>
        <v>0.92923224418274109</v>
      </c>
      <c r="CV33">
        <f t="shared" si="68"/>
        <v>37.32</v>
      </c>
    </row>
    <row r="34" spans="1:100" x14ac:dyDescent="0.55000000000000004">
      <c r="A34" s="12" t="s">
        <v>114</v>
      </c>
      <c r="B34" s="8" t="e">
        <f>VLOOKUP(ILrms_Total_Max_FB,U4:AU54,10,FALSE)</f>
        <v>#NUM!</v>
      </c>
      <c r="C34" s="12" t="s">
        <v>6</v>
      </c>
      <c r="K34">
        <v>30</v>
      </c>
      <c r="L34" s="91">
        <f t="shared" si="0"/>
        <v>38.400000000000006</v>
      </c>
      <c r="M34" s="93">
        <f t="shared" si="1"/>
        <v>0.19531249999999997</v>
      </c>
      <c r="N34" s="122">
        <f t="shared" si="69"/>
        <v>1.1284722222222222E-4</v>
      </c>
      <c r="O34" s="97">
        <f t="shared" si="70"/>
        <v>1.0156249999999998E-4</v>
      </c>
      <c r="P34" s="123">
        <f t="shared" si="71"/>
        <v>9.2329545454545439E-5</v>
      </c>
      <c r="Q34" s="127">
        <f t="shared" si="72"/>
        <v>0.39062499999999994</v>
      </c>
      <c r="R34" s="91">
        <f t="shared" si="73"/>
        <v>0.5</v>
      </c>
      <c r="S34" s="92">
        <f t="shared" si="2"/>
        <v>0.50781250000000011</v>
      </c>
      <c r="T34" s="92">
        <f t="shared" si="74"/>
        <v>0.75390625</v>
      </c>
      <c r="U34" s="92">
        <f t="shared" si="3"/>
        <v>1.2894470862116756</v>
      </c>
      <c r="V34" s="93">
        <f t="shared" si="75"/>
        <v>0.32565406615896497</v>
      </c>
      <c r="W34" s="92">
        <f t="shared" si="76"/>
        <v>0.26058318853989326</v>
      </c>
      <c r="X34" s="117">
        <f t="shared" si="4"/>
        <v>0.82051282051282048</v>
      </c>
      <c r="Y34" s="103">
        <f t="shared" si="5"/>
        <v>0.22569444444444448</v>
      </c>
      <c r="Z34" s="103">
        <f t="shared" si="6"/>
        <v>0.64252868003514041</v>
      </c>
      <c r="AA34" s="118">
        <f t="shared" si="7"/>
        <v>0.40353823197771466</v>
      </c>
      <c r="AB34" s="117">
        <f t="shared" si="8"/>
        <v>0</v>
      </c>
      <c r="AC34" s="103">
        <f t="shared" si="9"/>
        <v>0</v>
      </c>
      <c r="AD34" s="103">
        <f t="shared" si="10"/>
        <v>0</v>
      </c>
      <c r="AE34" s="118">
        <f t="shared" si="11"/>
        <v>0</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21">
        <f t="shared" si="28"/>
        <v>5.8503744239631346E-2</v>
      </c>
      <c r="AW34" s="21">
        <f t="shared" si="77"/>
        <v>0</v>
      </c>
      <c r="AX34" s="139">
        <f t="shared" si="29"/>
        <v>0</v>
      </c>
      <c r="AY34" s="140">
        <v>30</v>
      </c>
      <c r="AZ34" s="141">
        <f t="shared" si="30"/>
        <v>0</v>
      </c>
      <c r="BA34" s="19">
        <f t="shared" si="31"/>
        <v>116.14676349358591</v>
      </c>
      <c r="BB34" s="142">
        <f t="shared" si="32"/>
        <v>4.28581557291332E-2</v>
      </c>
      <c r="BC34" s="19">
        <f t="shared" si="78"/>
        <v>122.70162920221458</v>
      </c>
      <c r="BD34" s="79">
        <f t="shared" si="33"/>
        <v>4.5276901175617175E-2</v>
      </c>
      <c r="BE34" s="144" t="e">
        <f t="shared" si="34"/>
        <v>#NUM!</v>
      </c>
      <c r="BF34" s="148" t="e">
        <f t="shared" si="35"/>
        <v>#NUM!</v>
      </c>
      <c r="BG34" s="144" t="e">
        <f t="shared" si="36"/>
        <v>#NUM!</v>
      </c>
      <c r="BH34" s="152" t="e">
        <f t="shared" si="37"/>
        <v>#NUM!</v>
      </c>
      <c r="BI34" s="28">
        <f t="shared" si="38"/>
        <v>0</v>
      </c>
      <c r="BJ34" s="29">
        <f t="shared" si="39"/>
        <v>0</v>
      </c>
      <c r="BK34" s="28">
        <f t="shared" si="40"/>
        <v>0</v>
      </c>
      <c r="BL34" s="29">
        <f t="shared" si="41"/>
        <v>0</v>
      </c>
      <c r="BM34" s="28">
        <f t="shared" si="42"/>
        <v>0</v>
      </c>
      <c r="BN34" s="29">
        <f t="shared" si="43"/>
        <v>0</v>
      </c>
      <c r="BO34" s="28">
        <f t="shared" si="44"/>
        <v>0</v>
      </c>
      <c r="BP34" s="29">
        <f t="shared" si="45"/>
        <v>0</v>
      </c>
      <c r="BQ34" s="150">
        <f t="shared" si="46"/>
        <v>0</v>
      </c>
      <c r="BR34" s="29">
        <f t="shared" si="47"/>
        <v>0</v>
      </c>
      <c r="BS34" s="91" t="e">
        <f t="shared" si="79"/>
        <v>#NUM!</v>
      </c>
      <c r="BT34" s="206" t="e">
        <f t="shared" si="80"/>
        <v>#NUM!</v>
      </c>
      <c r="BU34" s="206" t="e">
        <f t="shared" si="81"/>
        <v>#NUM!</v>
      </c>
      <c r="BV34" s="97" t="e">
        <f t="shared" si="82"/>
        <v>#NUM!</v>
      </c>
      <c r="BW34" s="123" t="e">
        <f t="shared" si="83"/>
        <v>#NUM!</v>
      </c>
      <c r="BX34" s="91">
        <f>(M34^2)*'Fly-Buck_Calc'!$B$80</f>
        <v>2.6702880859374991E-3</v>
      </c>
      <c r="BY34" s="92">
        <f t="shared" si="48"/>
        <v>5.0000000000000001E-3</v>
      </c>
      <c r="BZ34" s="92">
        <f t="shared" si="49"/>
        <v>0</v>
      </c>
      <c r="CA34" s="92">
        <f t="shared" si="50"/>
        <v>0</v>
      </c>
      <c r="CB34" s="92">
        <f t="shared" si="51"/>
        <v>0</v>
      </c>
      <c r="CC34" s="92">
        <f t="shared" si="52"/>
        <v>0</v>
      </c>
      <c r="CD34" s="92">
        <f t="shared" si="53"/>
        <v>0</v>
      </c>
      <c r="CE34" s="127">
        <f t="shared" si="84"/>
        <v>7.6702880859374992E-3</v>
      </c>
      <c r="CF34" s="91">
        <f t="shared" si="85"/>
        <v>1.1062622070312495E-2</v>
      </c>
      <c r="CG34" s="92">
        <f t="shared" si="54"/>
        <v>8.6400000000000018E-2</v>
      </c>
      <c r="CH34" s="206">
        <f t="shared" si="55"/>
        <v>3.7500000000000003E-3</v>
      </c>
      <c r="CI34" s="92">
        <f t="shared" si="56"/>
        <v>0.23040000000000005</v>
      </c>
      <c r="CJ34" s="93">
        <f t="shared" si="57"/>
        <v>0.09</v>
      </c>
      <c r="CK34" s="92">
        <f t="shared" si="58"/>
        <v>0.42161262207031258</v>
      </c>
      <c r="CL34" s="188">
        <f t="shared" si="59"/>
        <v>0.15</v>
      </c>
      <c r="CM34" s="206">
        <f t="shared" si="60"/>
        <v>0</v>
      </c>
      <c r="CN34" s="206">
        <f t="shared" si="61"/>
        <v>0</v>
      </c>
      <c r="CO34" s="206">
        <f t="shared" si="62"/>
        <v>0</v>
      </c>
      <c r="CP34" s="206">
        <f t="shared" si="63"/>
        <v>0</v>
      </c>
      <c r="CQ34" s="227">
        <f t="shared" si="64"/>
        <v>0</v>
      </c>
      <c r="CR34" s="231">
        <f t="shared" si="86"/>
        <v>0.15</v>
      </c>
      <c r="CS34" s="206">
        <f t="shared" si="65"/>
        <v>0.57928291015625011</v>
      </c>
      <c r="CT34" s="206">
        <f t="shared" si="66"/>
        <v>8.07928291015625</v>
      </c>
      <c r="CU34" s="206">
        <f t="shared" si="67"/>
        <v>0.92830020725873463</v>
      </c>
      <c r="CV34">
        <f t="shared" si="68"/>
        <v>38.400000000000006</v>
      </c>
    </row>
    <row r="35" spans="1:100" x14ac:dyDescent="0.55000000000000004">
      <c r="A35" s="12" t="s">
        <v>115</v>
      </c>
      <c r="B35" s="8" t="e">
        <f>VLOOKUP(ILrms_Total_Max_FB,U4:AU54,14,FALSE)</f>
        <v>#NUM!</v>
      </c>
      <c r="C35" s="12" t="s">
        <v>6</v>
      </c>
      <c r="K35">
        <v>31</v>
      </c>
      <c r="L35" s="91">
        <f t="shared" si="0"/>
        <v>39.480000000000004</v>
      </c>
      <c r="M35" s="93">
        <f t="shared" si="1"/>
        <v>0.18996960486322187</v>
      </c>
      <c r="N35" s="122">
        <f t="shared" si="69"/>
        <v>1.1482607227288077E-4</v>
      </c>
      <c r="O35" s="97">
        <f t="shared" si="70"/>
        <v>1.0334346504559268E-4</v>
      </c>
      <c r="P35" s="123">
        <f t="shared" si="71"/>
        <v>9.3948604586902436E-5</v>
      </c>
      <c r="Q35" s="127">
        <f t="shared" si="72"/>
        <v>0.37993920972644374</v>
      </c>
      <c r="R35" s="91">
        <f t="shared" si="73"/>
        <v>0.5</v>
      </c>
      <c r="S35" s="92">
        <f t="shared" si="2"/>
        <v>0.51671732522796354</v>
      </c>
      <c r="T35" s="92">
        <f t="shared" si="74"/>
        <v>0.75835866261398177</v>
      </c>
      <c r="U35" s="92">
        <f t="shared" si="3"/>
        <v>1.2772860289424646</v>
      </c>
      <c r="V35" s="93">
        <f t="shared" si="75"/>
        <v>0.32161832713166594</v>
      </c>
      <c r="W35" s="92">
        <f t="shared" si="76"/>
        <v>0.25951858811091477</v>
      </c>
      <c r="X35" s="117">
        <f t="shared" si="4"/>
        <v>0.80637254901960786</v>
      </c>
      <c r="Y35" s="103">
        <f t="shared" si="5"/>
        <v>0.22965214454576161</v>
      </c>
      <c r="Z35" s="103">
        <f t="shared" si="6"/>
        <v>0.63711180120719912</v>
      </c>
      <c r="AA35" s="118">
        <f t="shared" si="7"/>
        <v>0.39485623616384941</v>
      </c>
      <c r="AB35" s="117">
        <f t="shared" si="8"/>
        <v>0</v>
      </c>
      <c r="AC35" s="103">
        <f t="shared" si="9"/>
        <v>0</v>
      </c>
      <c r="AD35" s="103">
        <f t="shared" si="10"/>
        <v>0</v>
      </c>
      <c r="AE35" s="118">
        <f t="shared" si="11"/>
        <v>0</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21">
        <f t="shared" si="28"/>
        <v>5.9529645763590266E-2</v>
      </c>
      <c r="AW35" s="21">
        <f t="shared" si="77"/>
        <v>0</v>
      </c>
      <c r="AX35" s="139">
        <f t="shared" si="29"/>
        <v>0</v>
      </c>
      <c r="AY35" s="140">
        <v>31</v>
      </c>
      <c r="AZ35" s="141">
        <f t="shared" si="30"/>
        <v>0</v>
      </c>
      <c r="BA35" s="19">
        <f t="shared" si="31"/>
        <v>121.64356662897849</v>
      </c>
      <c r="BB35" s="142">
        <f t="shared" si="32"/>
        <v>4.4886476086093065E-2</v>
      </c>
      <c r="BC35" s="19">
        <f t="shared" si="78"/>
        <v>128.06263537763928</v>
      </c>
      <c r="BD35" s="79">
        <f t="shared" si="33"/>
        <v>4.7255112454348894E-2</v>
      </c>
      <c r="BE35" s="144" t="e">
        <f t="shared" si="34"/>
        <v>#NUM!</v>
      </c>
      <c r="BF35" s="148" t="e">
        <f t="shared" si="35"/>
        <v>#NUM!</v>
      </c>
      <c r="BG35" s="144" t="e">
        <f t="shared" si="36"/>
        <v>#NUM!</v>
      </c>
      <c r="BH35" s="152" t="e">
        <f t="shared" si="37"/>
        <v>#NUM!</v>
      </c>
      <c r="BI35" s="28">
        <f t="shared" si="38"/>
        <v>0</v>
      </c>
      <c r="BJ35" s="29">
        <f t="shared" si="39"/>
        <v>0</v>
      </c>
      <c r="BK35" s="28">
        <f t="shared" si="40"/>
        <v>0</v>
      </c>
      <c r="BL35" s="29">
        <f t="shared" si="41"/>
        <v>0</v>
      </c>
      <c r="BM35" s="28">
        <f t="shared" si="42"/>
        <v>0</v>
      </c>
      <c r="BN35" s="29">
        <f t="shared" si="43"/>
        <v>0</v>
      </c>
      <c r="BO35" s="28">
        <f t="shared" si="44"/>
        <v>0</v>
      </c>
      <c r="BP35" s="29">
        <f t="shared" si="45"/>
        <v>0</v>
      </c>
      <c r="BQ35" s="150">
        <f t="shared" si="46"/>
        <v>0</v>
      </c>
      <c r="BR35" s="29">
        <f t="shared" si="47"/>
        <v>0</v>
      </c>
      <c r="BS35" s="91" t="e">
        <f t="shared" si="79"/>
        <v>#NUM!</v>
      </c>
      <c r="BT35" s="206" t="e">
        <f t="shared" si="80"/>
        <v>#NUM!</v>
      </c>
      <c r="BU35" s="206" t="e">
        <f t="shared" si="81"/>
        <v>#NUM!</v>
      </c>
      <c r="BV35" s="97" t="e">
        <f t="shared" si="82"/>
        <v>#NUM!</v>
      </c>
      <c r="BW35" s="123" t="e">
        <f t="shared" si="83"/>
        <v>#NUM!</v>
      </c>
      <c r="BX35" s="91">
        <f>(M35^2)*'Fly-Buck_Calc'!$B$80</f>
        <v>2.5261915540322056E-3</v>
      </c>
      <c r="BY35" s="92">
        <f t="shared" si="48"/>
        <v>5.0000000000000001E-3</v>
      </c>
      <c r="BZ35" s="92">
        <f t="shared" si="49"/>
        <v>0</v>
      </c>
      <c r="CA35" s="92">
        <f t="shared" si="50"/>
        <v>0</v>
      </c>
      <c r="CB35" s="92">
        <f t="shared" si="51"/>
        <v>0</v>
      </c>
      <c r="CC35" s="92">
        <f t="shared" si="52"/>
        <v>0</v>
      </c>
      <c r="CD35" s="92">
        <f t="shared" si="53"/>
        <v>0</v>
      </c>
      <c r="CE35" s="127">
        <f t="shared" si="84"/>
        <v>7.5261915540322053E-3</v>
      </c>
      <c r="CF35" s="91">
        <f t="shared" si="85"/>
        <v>1.0465650723847707E-2</v>
      </c>
      <c r="CG35" s="92">
        <f t="shared" si="54"/>
        <v>8.883000000000002E-2</v>
      </c>
      <c r="CH35" s="206">
        <f t="shared" si="55"/>
        <v>3.7500000000000003E-3</v>
      </c>
      <c r="CI35" s="92">
        <f t="shared" si="56"/>
        <v>0.23688000000000003</v>
      </c>
      <c r="CJ35" s="93">
        <f t="shared" si="57"/>
        <v>0.09</v>
      </c>
      <c r="CK35" s="92">
        <f t="shared" si="58"/>
        <v>0.42992565072384781</v>
      </c>
      <c r="CL35" s="188">
        <f t="shared" si="59"/>
        <v>0.15</v>
      </c>
      <c r="CM35" s="206">
        <f t="shared" si="60"/>
        <v>0</v>
      </c>
      <c r="CN35" s="206">
        <f t="shared" si="61"/>
        <v>0</v>
      </c>
      <c r="CO35" s="206">
        <f t="shared" si="62"/>
        <v>0</v>
      </c>
      <c r="CP35" s="206">
        <f t="shared" si="63"/>
        <v>0</v>
      </c>
      <c r="CQ35" s="227">
        <f t="shared" si="64"/>
        <v>0</v>
      </c>
      <c r="CR35" s="231">
        <f t="shared" si="86"/>
        <v>0.15</v>
      </c>
      <c r="CS35" s="206">
        <f t="shared" si="65"/>
        <v>0.58745184227788005</v>
      </c>
      <c r="CT35" s="206">
        <f t="shared" si="66"/>
        <v>8.0874518422778792</v>
      </c>
      <c r="CU35" s="206">
        <f t="shared" si="67"/>
        <v>0.92736255451847982</v>
      </c>
      <c r="CV35">
        <f t="shared" si="68"/>
        <v>39.480000000000004</v>
      </c>
    </row>
    <row r="36" spans="1:100" x14ac:dyDescent="0.55000000000000004">
      <c r="A36" s="12" t="s">
        <v>116</v>
      </c>
      <c r="B36" s="8" t="e">
        <f>VLOOKUP(ILrms_Total_Max_FB,U4:AU54,18,FALSE)</f>
        <v>#NUM!</v>
      </c>
      <c r="C36" s="12" t="s">
        <v>6</v>
      </c>
      <c r="K36">
        <v>32</v>
      </c>
      <c r="L36" s="91">
        <f t="shared" ref="L36:L54" si="87">VinMin+(K36*DC_Step)</f>
        <v>40.56</v>
      </c>
      <c r="M36" s="93">
        <f t="shared" ref="M36:M54" si="88">Pout_FB/(L36*eff)</f>
        <v>0.1849112426035503</v>
      </c>
      <c r="N36" s="122">
        <f t="shared" si="69"/>
        <v>1.1669953977646284E-4</v>
      </c>
      <c r="O36" s="97">
        <f t="shared" si="70"/>
        <v>1.0502958579881655E-4</v>
      </c>
      <c r="P36" s="123">
        <f t="shared" si="71"/>
        <v>9.5481441635287778E-5</v>
      </c>
      <c r="Q36" s="127">
        <f t="shared" si="72"/>
        <v>0.36982248520710059</v>
      </c>
      <c r="R36" s="91">
        <f t="shared" si="73"/>
        <v>0.5</v>
      </c>
      <c r="S36" s="92">
        <f t="shared" ref="S36:S54" si="89">((L36-VoutPri_FB)*Q36)/(Lm_FlyB*Fsw)</f>
        <v>0.52514792899408291</v>
      </c>
      <c r="T36" s="92">
        <f t="shared" si="74"/>
        <v>0.76257396449704151</v>
      </c>
      <c r="U36" s="92">
        <f t="shared" ref="U36:U54" si="90">SUM(V36,(Ns1_FlyB/Np)*Z36,(Ns2_FlyB/Np)*AD36,(Ns3_FlyB/Np)*AH36,(Ns4_FlyB/Np)*AL36,(Ns5_FlyB/Np)*AP36,(Ns6_FlyB/Np)*AT36)</f>
        <v>1.2659122251794108</v>
      </c>
      <c r="V36" s="93">
        <f t="shared" ref="V36:V54" si="91">R36*SQRT(Q36)*SQRT(1+((1/3)*(S36/(2*R36))^2))</f>
        <v>0.317733802241353</v>
      </c>
      <c r="W36" s="92">
        <f t="shared" si="76"/>
        <v>0.25838459986144335</v>
      </c>
      <c r="X36" s="117">
        <f t="shared" ref="X36:X54" si="92">IF(AND(Vout1&lt;&gt;0,Iout1&lt;&gt;0,Ns1_FlyB&lt;&gt;0),(Iout1/(1-Q36)),0)</f>
        <v>0.79342723004694837</v>
      </c>
      <c r="Y36" s="103">
        <f t="shared" ref="Y36:Y54" si="93">IF(AND(Vout1&lt;&gt;0,Iout1&lt;&gt;0,Ns1_FlyB&lt;&gt;0),(ABS(Vout1)*(1-Q36))/(((n1_FlyB/Np)^2)*Lm_FlyB*Fsw),0)</f>
        <v>0.23339907955292574</v>
      </c>
      <c r="Z36" s="103">
        <f t="shared" ref="Z36:Z54" si="94">IF(AND(Vout1&lt;&gt;0,Iout1&lt;&gt;0,Ns1_FlyB&lt;&gt;0),X36*SQRT(1-Q36)*SQRT(1+((1/3)*((Y36/(2*X36))^2))),0)</f>
        <v>0.63211894862537188</v>
      </c>
      <c r="AA36" s="118">
        <f t="shared" ref="AA36:AA54" si="95">IF(AND(Vout1&lt;&gt;0,Iout1&lt;&gt;0,Ns1_FlyB&lt;&gt;0),SQRT((Z36^2)-(Iout1^2)),0)</f>
        <v>0.38674845211228126</v>
      </c>
      <c r="AB36" s="117">
        <f t="shared" ref="AB36:AB54" si="96">IF(AND(Vout2&lt;&gt;0,Iout2&lt;&gt;0,Ns2_FlyB&lt;&gt;0),(Iout2/(1-Q36)),0)</f>
        <v>0</v>
      </c>
      <c r="AC36" s="103">
        <f t="shared" ref="AC36:AC54" si="97">IF(AND(Vout2&lt;&gt;0,Iout2&lt;&gt;0,Ns2_FlyB&lt;&gt;0),(ABS(Vout2)*(1-Q36))/(((n2_FlyB/Np)^2)*Lm_FlyB*Fsw),0)</f>
        <v>0</v>
      </c>
      <c r="AD36" s="103">
        <f t="shared" ref="AD36:AD54" si="98">IF(AND(Vout2&lt;&gt;0,Iout2&lt;&gt;0,Ns2_FlyB&lt;&gt;0),AB36*SQRT(1-Q36)*SQRT(1+((1/3)*((AC36/(2*AB36))^2))),0)</f>
        <v>0</v>
      </c>
      <c r="AE36" s="118">
        <f t="shared" ref="AE36:AE54" si="99">IF(AND(Vout2&lt;&gt;0,Iout2&lt;&gt;0,Ns2_FlyB&lt;&gt;0),SQRT((AD36^2)-(Iout2^2)),0)</f>
        <v>0</v>
      </c>
      <c r="AF36" s="117">
        <f t="shared" ref="AF36:AF54" si="100">IF(AND(Vout3&lt;&gt;0,Iout3&lt;&gt;0,Ns3_FlyB&lt;&gt;0),(Iout3/(1-Q36)),0)</f>
        <v>0</v>
      </c>
      <c r="AG36" s="103">
        <f t="shared" ref="AG36:AG54" si="101">IF(AND(Vout3&lt;&gt;0,Iout3&lt;&gt;0,Ns3_FlyB&lt;&gt;0),(ABS(Vout3)*(1-Q36))/(((n3_FlyB/Np)^2)*Lm_FlyB*Fsw),0)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IF(AND(Vout4&lt;&gt;0,Iout4&lt;&gt;0,Ns4_FlyB&lt;&gt;0),(Iout4/(1-Q36)),0)</f>
        <v>0</v>
      </c>
      <c r="AK36" s="103">
        <f t="shared" ref="AK36:AK54" si="105">IF(AND(Vout4&lt;&gt;0,Iout4&lt;&gt;0,Ns4_FlyB&lt;&gt;0),(ABS(Vout4)*(1-Q36))/(((n4_FlyB/Np)^2)*Lm_FlyB*Fsw),0)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IF(AND(Vout5&lt;&gt;0,Iout5&lt;&gt;0,Ns5_FlyB&lt;&gt;0),(Iout5/(1-Q36)),0)</f>
        <v>0</v>
      </c>
      <c r="AO36" s="103">
        <f t="shared" ref="AO36:AO54" si="109">IF(AND(Vout5&lt;&gt;0,Iout5&lt;&gt;0,Ns5_FlyB&lt;&gt;0),(ABS(Vout5)*(1-Q36))/(((n5_FlyB/Np)^2)*Lm_FlyB*Fsw),0)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IF(AND(Vout6&lt;&gt;0,Iout6&lt;&gt;0,Ns6_FlyB&lt;&gt;0),(Iout6/(1-Q36)),0)</f>
        <v>0</v>
      </c>
      <c r="AS36" s="103">
        <f t="shared" ref="AS36:AS54" si="113">IF(AND(Vout6&lt;&gt;0,Iout6&lt;&gt;0,Ns6_FlyB&lt;&gt;0),(ABS(Vout6)*(1-Q36))/(((n6_FlyB/Np)^2)*Lm_FlyB*Fsw),0)</f>
        <v>0</v>
      </c>
      <c r="AT36" s="103">
        <f t="shared" ref="AT36:AT54" si="114">IF(AND(Vout6&lt;&gt;0,Iout6&lt;&gt;0,Ns6_FlyB&lt;&gt;0),AP36*SQRT(1-Q36)*SQRT(1+((1/3)*((AP36/(2*AR36))^2))),0)</f>
        <v>0</v>
      </c>
      <c r="AU36" s="118">
        <f t="shared" ref="AU36:AU54" si="115">IF(AND(Vout6&lt;&gt;0,Iout6&lt;&gt;0,Ns6_FlyB&lt;&gt;0),SQRT((AT36^2)-(Iout6^2)),0)</f>
        <v>0</v>
      </c>
      <c r="AV36" s="21">
        <f t="shared" ref="AV36:AV54" si="116">(((L36-VoutPri_FB)*Q36)/(2*Np_T_FB*(Ae_FB/100)*Fsw))*(10^4)</f>
        <v>6.0500913478580984E-2</v>
      </c>
      <c r="AW36" s="21">
        <f t="shared" si="77"/>
        <v>0</v>
      </c>
      <c r="AX36" s="139">
        <f t="shared" ref="AX36:AX54" si="117">AW36*(Ve_FB/1000)</f>
        <v>0</v>
      </c>
      <c r="AY36" s="140">
        <v>32</v>
      </c>
      <c r="AZ36" s="141">
        <f t="shared" ref="AZ36:AZ54" si="118">CM_3F36*(Fsw^x_3F36)*(AV36^y_3F36)*(TC_3F36)*(Ve_FB/1000)</f>
        <v>0</v>
      </c>
      <c r="BA36" s="19">
        <f t="shared" ref="BA36:BA54" si="119">CM_3C92*(Fsw^x_3C92)*(AV36^y_3C92)*(TC_3C92)/1000</f>
        <v>126.99461649755781</v>
      </c>
      <c r="BB36" s="142">
        <f t="shared" ref="BB36:BB54" si="120">(Ve_FB/1000)*BA36/1000</f>
        <v>4.6861013487598829E-2</v>
      </c>
      <c r="BC36" s="19">
        <f t="shared" si="78"/>
        <v>133.26400889006993</v>
      </c>
      <c r="BD36" s="79">
        <f t="shared" ref="BD36:BD54" si="121">((Ve_FB/1000)*BC36)/1000</f>
        <v>4.9174419280435804E-2</v>
      </c>
      <c r="BE36" s="144" t="e">
        <f t="shared" ref="BE36:BE54" si="122">(M36^2)*RdcPri_FB</f>
        <v>#NUM!</v>
      </c>
      <c r="BF36" s="148" t="e">
        <f t="shared" ref="BF36:BF54" si="123">(Q36^2)*(RacPri_FB)</f>
        <v>#NUM!</v>
      </c>
      <c r="BG36" s="144" t="e">
        <f t="shared" ref="BG36:BG54" si="124">(Iout1^2)*Rdc1_FB</f>
        <v>#NUM!</v>
      </c>
      <c r="BH36" s="152" t="e">
        <f t="shared" ref="BH36:BH54" si="125">(AA36^2)*Rac1_FB</f>
        <v>#NUM!</v>
      </c>
      <c r="BI36" s="28">
        <f t="shared" ref="BI36:BI54" si="126">(Iout2^2)*Rdc2_FB</f>
        <v>0</v>
      </c>
      <c r="BJ36" s="29">
        <f t="shared" ref="BJ36:BJ54" si="127">(AE36^2)*Rac2_FB</f>
        <v>0</v>
      </c>
      <c r="BK36" s="28">
        <f t="shared" ref="BK36:BK54" si="128">(Iout3^2)*Rdc3_FB</f>
        <v>0</v>
      </c>
      <c r="BL36" s="29">
        <f t="shared" ref="BL36:BL54" si="129">(AI36^2)*Rac3_FB</f>
        <v>0</v>
      </c>
      <c r="BM36" s="28">
        <f t="shared" ref="BM36:BM54" si="130">(Iout4^2)*Rdc4_FB</f>
        <v>0</v>
      </c>
      <c r="BN36" s="29">
        <f t="shared" ref="BN36:BN54" si="131">(AM36^2)*Rac4_FB</f>
        <v>0</v>
      </c>
      <c r="BO36" s="28">
        <f t="shared" ref="BO36:BO54" si="132">(Iout5^2)*Rdc5_FB</f>
        <v>0</v>
      </c>
      <c r="BP36" s="29">
        <f t="shared" ref="BP36:BP54" si="133">(AQ36^2)*Rac5_FB</f>
        <v>0</v>
      </c>
      <c r="BQ36" s="150">
        <f t="shared" ref="BQ36:BQ54" si="134">(Iout6^2)*Rdc6_FB</f>
        <v>0</v>
      </c>
      <c r="BR36" s="29">
        <f t="shared" ref="BR36:BR54" si="135">(AU36^2)*Rac6_FB</f>
        <v>0</v>
      </c>
      <c r="BS36" s="91" t="e">
        <f t="shared" si="79"/>
        <v>#NUM!</v>
      </c>
      <c r="BT36" s="206" t="e">
        <f t="shared" si="80"/>
        <v>#NUM!</v>
      </c>
      <c r="BU36" s="206" t="e">
        <f t="shared" si="81"/>
        <v>#NUM!</v>
      </c>
      <c r="BV36" s="97" t="e">
        <f t="shared" si="82"/>
        <v>#NUM!</v>
      </c>
      <c r="BW36" s="123" t="e">
        <f t="shared" si="83"/>
        <v>#NUM!</v>
      </c>
      <c r="BX36" s="91">
        <f>(M36^2)*'Fly-Buck_Calc'!$B$80</f>
        <v>2.3934517348832328E-3</v>
      </c>
      <c r="BY36" s="92">
        <f t="shared" ref="BY36:BY54" si="136">IF(AND(Vout1&lt;&gt;0,Iout1&lt;&gt;0),(Iout1^2)*$B$81,0)</f>
        <v>5.0000000000000001E-3</v>
      </c>
      <c r="BZ36" s="92">
        <f t="shared" ref="BZ36:BZ54" si="137">IF(AND(Vout2&lt;&gt;0,Iout2&lt;&gt;0),(Iout2^2)*$B$82,0)</f>
        <v>0</v>
      </c>
      <c r="CA36" s="92">
        <f t="shared" ref="CA36:CA54" si="138">IF(AND(Vout3&lt;&gt;0,Iout3&lt;&gt;0),(Iout3^2)*$B$83,0)</f>
        <v>0</v>
      </c>
      <c r="CB36" s="92">
        <f t="shared" ref="CB36:CB54" si="139">IF(AND(Vout4&lt;&gt;0,Iout4&lt;&gt;0),(Iout4^2)*$B$84,0)</f>
        <v>0</v>
      </c>
      <c r="CC36" s="92">
        <f t="shared" ref="CC36:CC54" si="140">IF(AND(Vout5&lt;&gt;0,Iout5&lt;&gt;0),(Iout5^2)*$B$85,0)</f>
        <v>0</v>
      </c>
      <c r="CD36" s="92">
        <f t="shared" ref="CD36:CD54" si="141">IF(AND(Vout6&lt;&gt;0,Iout6&lt;&gt;0),(Iout6^2)*$B$86,0)</f>
        <v>0</v>
      </c>
      <c r="CE36" s="127">
        <f t="shared" si="84"/>
        <v>7.3934517348832329E-3</v>
      </c>
      <c r="CF36" s="91">
        <f t="shared" si="85"/>
        <v>9.9157286159448198E-3</v>
      </c>
      <c r="CG36" s="92">
        <f t="shared" ref="CG36:CG54" si="142">0.5*L36*R36*Fsw*T_Rise_Fall</f>
        <v>9.1260000000000008E-2</v>
      </c>
      <c r="CH36" s="206">
        <f t="shared" ref="CH36:CH54" si="143">R36*$B$75*1*Fsw</f>
        <v>3.7500000000000003E-3</v>
      </c>
      <c r="CI36" s="92">
        <f t="shared" ref="CI36:CI54" si="144">$B$76*Fsw*L36</f>
        <v>0.24336000000000002</v>
      </c>
      <c r="CJ36" s="93">
        <f t="shared" ref="CJ36:CJ54" si="145">$B$71*$B$69*Fsw+$B$73*$B$69*Fsw</f>
        <v>0.09</v>
      </c>
      <c r="CK36" s="92">
        <f t="shared" ref="CK36:CK54" si="146">SUM(CF36:CJ36)</f>
        <v>0.43828572861594484</v>
      </c>
      <c r="CL36" s="188">
        <f t="shared" ref="CL36:CL54" si="147">IF(AND(Vout1&lt;&gt;0,Iout1&lt;&gt;0,Ns1_FlyB&lt;&gt;0),Iout1*Vdiode1,0)</f>
        <v>0.15</v>
      </c>
      <c r="CM36" s="206">
        <f t="shared" ref="CM36:CM54" si="148">IF(AND(Vout2&lt;&gt;0,Iout2&lt;&gt;0,Ns2_FlyB&lt;&gt;0),Iout2*Vdiode2,0)</f>
        <v>0</v>
      </c>
      <c r="CN36" s="206">
        <f t="shared" ref="CN36:CN54" si="149">IF(AND(Vout3&lt;&gt;0,Iout3&lt;&gt;0,Ns3_FlyB&lt;&gt;0),Iout3*Vdiode3,0)</f>
        <v>0</v>
      </c>
      <c r="CO36" s="206">
        <f t="shared" ref="CO36:CO54" si="150">IF(AND(Vout4&lt;&gt;0,Iout4&lt;&gt;0,Ns4_FlyB&lt;&gt;0),Iout4*Vdiode4,0)</f>
        <v>0</v>
      </c>
      <c r="CP36" s="206">
        <f t="shared" ref="CP36:CP54" si="151">IF(AND(Vout5&lt;&gt;0,Iout5&lt;&gt;0,Ns5_FlyB&lt;&gt;0),Iout5*Vdiode5,0)</f>
        <v>0</v>
      </c>
      <c r="CQ36" s="227">
        <f t="shared" ref="CQ36:CQ54" si="152">IF(AND(Vout6&lt;&gt;0,Iout6&lt;&gt;0,Ns6_FlyB&lt;&gt;0),Iout6*Vdiode6,0)</f>
        <v>0</v>
      </c>
      <c r="CR36" s="231">
        <f t="shared" si="86"/>
        <v>0.15</v>
      </c>
      <c r="CS36" s="206">
        <f t="shared" ref="CS36:CS54" si="153">CR36+CK36+CE36</f>
        <v>0.59567918035082812</v>
      </c>
      <c r="CT36" s="206">
        <f t="shared" ref="CT36:CT54" si="154">CS36+Pout_FB</f>
        <v>8.0956791803508281</v>
      </c>
      <c r="CU36" s="206">
        <f t="shared" ref="CU36:CU54" si="155">Pout_FB/CT36</f>
        <v>0.92642011039708538</v>
      </c>
      <c r="CV36">
        <f t="shared" ref="CV36:CV54" si="156">L36</f>
        <v>40.56</v>
      </c>
    </row>
    <row r="37" spans="1:100" x14ac:dyDescent="0.55000000000000004">
      <c r="A37" s="12" t="s">
        <v>118</v>
      </c>
      <c r="B37" s="8" t="e">
        <f>VLOOKUP(ILrms_Total_Max_FB,U4:AU54,22,FALSE)</f>
        <v>#NUM!</v>
      </c>
      <c r="C37" s="12" t="s">
        <v>6</v>
      </c>
      <c r="K37">
        <v>33</v>
      </c>
      <c r="L37" s="91">
        <f t="shared" si="87"/>
        <v>41.64</v>
      </c>
      <c r="M37" s="93">
        <f t="shared" si="88"/>
        <v>0.18011527377521613</v>
      </c>
      <c r="N37" s="122">
        <f t="shared" si="69"/>
        <v>1.1847582452769773E-4</v>
      </c>
      <c r="O37" s="97">
        <f t="shared" si="70"/>
        <v>1.0662824207492793E-4</v>
      </c>
      <c r="P37" s="123">
        <f t="shared" si="71"/>
        <v>9.6934765522661758E-5</v>
      </c>
      <c r="Q37" s="127">
        <f t="shared" si="72"/>
        <v>0.36023054755043227</v>
      </c>
      <c r="R37" s="91">
        <f t="shared" si="73"/>
        <v>0.5</v>
      </c>
      <c r="S37" s="92">
        <f t="shared" si="89"/>
        <v>0.53314121037463968</v>
      </c>
      <c r="T37" s="92">
        <f t="shared" si="74"/>
        <v>0.76657060518731979</v>
      </c>
      <c r="U37" s="92">
        <f t="shared" si="90"/>
        <v>1.2552443584293915</v>
      </c>
      <c r="V37" s="93">
        <f t="shared" si="91"/>
        <v>0.31399089841576039</v>
      </c>
      <c r="W37" s="92">
        <f t="shared" si="76"/>
        <v>0.25719403655764511</v>
      </c>
      <c r="X37" s="117">
        <f t="shared" si="92"/>
        <v>0.78153153153153154</v>
      </c>
      <c r="Y37" s="103">
        <f t="shared" si="93"/>
        <v>0.23695164905539551</v>
      </c>
      <c r="Z37" s="103">
        <f t="shared" si="94"/>
        <v>0.62750230667575402</v>
      </c>
      <c r="AA37" s="118">
        <f t="shared" si="95"/>
        <v>0.37915583192586139</v>
      </c>
      <c r="AB37" s="117">
        <f t="shared" si="96"/>
        <v>0</v>
      </c>
      <c r="AC37" s="103">
        <f t="shared" si="97"/>
        <v>0</v>
      </c>
      <c r="AD37" s="103">
        <f t="shared" si="98"/>
        <v>0</v>
      </c>
      <c r="AE37" s="118">
        <f t="shared" si="99"/>
        <v>0</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21">
        <f t="shared" si="116"/>
        <v>6.142179843025803E-2</v>
      </c>
      <c r="AW37" s="21">
        <f t="shared" si="77"/>
        <v>0</v>
      </c>
      <c r="AX37" s="139">
        <f t="shared" si="117"/>
        <v>0</v>
      </c>
      <c r="AY37" s="140">
        <v>33</v>
      </c>
      <c r="AZ37" s="141">
        <f t="shared" si="118"/>
        <v>0</v>
      </c>
      <c r="BA37" s="19">
        <f t="shared" si="119"/>
        <v>132.20153494066147</v>
      </c>
      <c r="BB37" s="142">
        <f t="shared" si="120"/>
        <v>4.8782366393104085E-2</v>
      </c>
      <c r="BC37" s="19">
        <f t="shared" si="78"/>
        <v>138.30947763816187</v>
      </c>
      <c r="BD37" s="79">
        <f t="shared" si="121"/>
        <v>5.1036197248481727E-2</v>
      </c>
      <c r="BE37" s="144" t="e">
        <f t="shared" si="122"/>
        <v>#NUM!</v>
      </c>
      <c r="BF37" s="148" t="e">
        <f t="shared" si="123"/>
        <v>#NUM!</v>
      </c>
      <c r="BG37" s="144" t="e">
        <f t="shared" si="124"/>
        <v>#NUM!</v>
      </c>
      <c r="BH37" s="152" t="e">
        <f t="shared" si="125"/>
        <v>#NUM!</v>
      </c>
      <c r="BI37" s="28">
        <f t="shared" si="126"/>
        <v>0</v>
      </c>
      <c r="BJ37" s="29">
        <f t="shared" si="127"/>
        <v>0</v>
      </c>
      <c r="BK37" s="28">
        <f t="shared" si="128"/>
        <v>0</v>
      </c>
      <c r="BL37" s="29">
        <f t="shared" si="129"/>
        <v>0</v>
      </c>
      <c r="BM37" s="28">
        <f t="shared" si="130"/>
        <v>0</v>
      </c>
      <c r="BN37" s="29">
        <f t="shared" si="131"/>
        <v>0</v>
      </c>
      <c r="BO37" s="28">
        <f t="shared" si="132"/>
        <v>0</v>
      </c>
      <c r="BP37" s="29">
        <f t="shared" si="133"/>
        <v>0</v>
      </c>
      <c r="BQ37" s="150">
        <f t="shared" si="134"/>
        <v>0</v>
      </c>
      <c r="BR37" s="29">
        <f t="shared" si="135"/>
        <v>0</v>
      </c>
      <c r="BS37" s="91" t="e">
        <f t="shared" si="79"/>
        <v>#NUM!</v>
      </c>
      <c r="BT37" s="206" t="e">
        <f t="shared" si="80"/>
        <v>#NUM!</v>
      </c>
      <c r="BU37" s="206" t="e">
        <f t="shared" si="81"/>
        <v>#NUM!</v>
      </c>
      <c r="BV37" s="97" t="e">
        <f t="shared" si="82"/>
        <v>#NUM!</v>
      </c>
      <c r="BW37" s="123" t="e">
        <f t="shared" si="83"/>
        <v>#NUM!</v>
      </c>
      <c r="BX37" s="91">
        <f>(M37^2)*'Fly-Buck_Calc'!$B$80</f>
        <v>2.2709058292984742E-3</v>
      </c>
      <c r="BY37" s="92">
        <f t="shared" si="136"/>
        <v>5.0000000000000001E-3</v>
      </c>
      <c r="BZ37" s="92">
        <f t="shared" si="137"/>
        <v>0</v>
      </c>
      <c r="CA37" s="92">
        <f t="shared" si="138"/>
        <v>0</v>
      </c>
      <c r="CB37" s="92">
        <f t="shared" si="139"/>
        <v>0</v>
      </c>
      <c r="CC37" s="92">
        <f t="shared" si="140"/>
        <v>0</v>
      </c>
      <c r="CD37" s="92">
        <f t="shared" si="141"/>
        <v>0</v>
      </c>
      <c r="CE37" s="127">
        <f t="shared" si="84"/>
        <v>7.2709058292984748E-3</v>
      </c>
      <c r="CF37" s="91">
        <f t="shared" si="85"/>
        <v>9.4080384356651069E-3</v>
      </c>
      <c r="CG37" s="92">
        <f t="shared" si="142"/>
        <v>9.3690000000000009E-2</v>
      </c>
      <c r="CH37" s="206">
        <f t="shared" si="143"/>
        <v>3.7500000000000003E-3</v>
      </c>
      <c r="CI37" s="92">
        <f t="shared" si="144"/>
        <v>0.24984000000000001</v>
      </c>
      <c r="CJ37" s="93">
        <f t="shared" si="145"/>
        <v>0.09</v>
      </c>
      <c r="CK37" s="92">
        <f t="shared" si="146"/>
        <v>0.44668803843566507</v>
      </c>
      <c r="CL37" s="188">
        <f t="shared" si="147"/>
        <v>0.15</v>
      </c>
      <c r="CM37" s="206">
        <f t="shared" si="148"/>
        <v>0</v>
      </c>
      <c r="CN37" s="206">
        <f t="shared" si="149"/>
        <v>0</v>
      </c>
      <c r="CO37" s="206">
        <f t="shared" si="150"/>
        <v>0</v>
      </c>
      <c r="CP37" s="206">
        <f t="shared" si="151"/>
        <v>0</v>
      </c>
      <c r="CQ37" s="227">
        <f t="shared" si="152"/>
        <v>0</v>
      </c>
      <c r="CR37" s="231">
        <f t="shared" si="86"/>
        <v>0.15</v>
      </c>
      <c r="CS37" s="206">
        <f t="shared" si="153"/>
        <v>0.60395894426496355</v>
      </c>
      <c r="CT37" s="206">
        <f t="shared" si="154"/>
        <v>8.1039589442649635</v>
      </c>
      <c r="CU37" s="206">
        <f t="shared" si="155"/>
        <v>0.92547359279351049</v>
      </c>
      <c r="CV37">
        <f t="shared" si="156"/>
        <v>41.64</v>
      </c>
    </row>
    <row r="38" spans="1:100" x14ac:dyDescent="0.55000000000000004">
      <c r="A38" s="12" t="s">
        <v>117</v>
      </c>
      <c r="B38" s="8" t="e">
        <f>VLOOKUP(ILrms_Total_Max_FB,U4:AU54,26,FALSE)</f>
        <v>#NUM!</v>
      </c>
      <c r="C38" s="12" t="s">
        <v>6</v>
      </c>
      <c r="K38">
        <v>34</v>
      </c>
      <c r="L38" s="91">
        <f t="shared" si="87"/>
        <v>42.72</v>
      </c>
      <c r="M38" s="93">
        <f t="shared" si="88"/>
        <v>0.175561797752809</v>
      </c>
      <c r="N38" s="122">
        <f t="shared" si="69"/>
        <v>1.2016229712858925E-4</v>
      </c>
      <c r="O38" s="97">
        <f t="shared" si="70"/>
        <v>1.0814606741573031E-4</v>
      </c>
      <c r="P38" s="123">
        <f t="shared" si="71"/>
        <v>9.8314606741573007E-5</v>
      </c>
      <c r="Q38" s="127">
        <f t="shared" si="72"/>
        <v>0.351123595505618</v>
      </c>
      <c r="R38" s="91">
        <f t="shared" si="73"/>
        <v>0.5</v>
      </c>
      <c r="S38" s="92">
        <f t="shared" si="89"/>
        <v>0.5407303370786517</v>
      </c>
      <c r="T38" s="92">
        <f t="shared" si="74"/>
        <v>0.7703651685393258</v>
      </c>
      <c r="U38" s="92">
        <f t="shared" si="90"/>
        <v>1.2452124000402569</v>
      </c>
      <c r="V38" s="93">
        <f t="shared" si="91"/>
        <v>0.31038089072411801</v>
      </c>
      <c r="W38" s="92">
        <f t="shared" si="76"/>
        <v>0.25595771622769781</v>
      </c>
      <c r="X38" s="117">
        <f t="shared" si="92"/>
        <v>0.77056277056277056</v>
      </c>
      <c r="Y38" s="103">
        <f t="shared" si="93"/>
        <v>0.24032459425717856</v>
      </c>
      <c r="Z38" s="103">
        <f t="shared" si="94"/>
        <v>0.62322100621075927</v>
      </c>
      <c r="AA38" s="118">
        <f t="shared" si="95"/>
        <v>0.37202744869478549</v>
      </c>
      <c r="AB38" s="117">
        <f t="shared" si="96"/>
        <v>0</v>
      </c>
      <c r="AC38" s="103">
        <f t="shared" si="97"/>
        <v>0</v>
      </c>
      <c r="AD38" s="103">
        <f t="shared" si="98"/>
        <v>0</v>
      </c>
      <c r="AE38" s="118">
        <f t="shared" si="99"/>
        <v>0</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21">
        <f t="shared" si="116"/>
        <v>6.2296121783254811E-2</v>
      </c>
      <c r="AW38" s="21">
        <f t="shared" si="77"/>
        <v>0</v>
      </c>
      <c r="AX38" s="139">
        <f t="shared" si="117"/>
        <v>0</v>
      </c>
      <c r="AY38" s="140">
        <v>34</v>
      </c>
      <c r="AZ38" s="141">
        <f t="shared" si="118"/>
        <v>0</v>
      </c>
      <c r="BA38" s="19">
        <f t="shared" si="119"/>
        <v>137.26659487221872</v>
      </c>
      <c r="BB38" s="142">
        <f t="shared" si="120"/>
        <v>5.06513735078487E-2</v>
      </c>
      <c r="BC38" s="19">
        <f t="shared" si="78"/>
        <v>143.20316197787557</v>
      </c>
      <c r="BD38" s="79">
        <f t="shared" si="121"/>
        <v>5.2841966769836081E-2</v>
      </c>
      <c r="BE38" s="144" t="e">
        <f t="shared" si="122"/>
        <v>#NUM!</v>
      </c>
      <c r="BF38" s="148" t="e">
        <f t="shared" si="123"/>
        <v>#NUM!</v>
      </c>
      <c r="BG38" s="144" t="e">
        <f t="shared" si="124"/>
        <v>#NUM!</v>
      </c>
      <c r="BH38" s="152" t="e">
        <f t="shared" si="125"/>
        <v>#NUM!</v>
      </c>
      <c r="BI38" s="28">
        <f t="shared" si="126"/>
        <v>0</v>
      </c>
      <c r="BJ38" s="29">
        <f t="shared" si="127"/>
        <v>0</v>
      </c>
      <c r="BK38" s="28">
        <f t="shared" si="128"/>
        <v>0</v>
      </c>
      <c r="BL38" s="29">
        <f t="shared" si="129"/>
        <v>0</v>
      </c>
      <c r="BM38" s="28">
        <f t="shared" si="130"/>
        <v>0</v>
      </c>
      <c r="BN38" s="29">
        <f t="shared" si="131"/>
        <v>0</v>
      </c>
      <c r="BO38" s="28">
        <f t="shared" si="132"/>
        <v>0</v>
      </c>
      <c r="BP38" s="29">
        <f t="shared" si="133"/>
        <v>0</v>
      </c>
      <c r="BQ38" s="150">
        <f t="shared" si="134"/>
        <v>0</v>
      </c>
      <c r="BR38" s="29">
        <f t="shared" si="135"/>
        <v>0</v>
      </c>
      <c r="BS38" s="91" t="e">
        <f t="shared" si="79"/>
        <v>#NUM!</v>
      </c>
      <c r="BT38" s="206" t="e">
        <f t="shared" si="80"/>
        <v>#NUM!</v>
      </c>
      <c r="BU38" s="206" t="e">
        <f t="shared" si="81"/>
        <v>#NUM!</v>
      </c>
      <c r="BV38" s="97" t="e">
        <f t="shared" si="82"/>
        <v>#NUM!</v>
      </c>
      <c r="BW38" s="123" t="e">
        <f t="shared" si="83"/>
        <v>#NUM!</v>
      </c>
      <c r="BX38" s="91">
        <f>(M38^2)*'Fly-Buck_Calc'!$B$80</f>
        <v>2.1575361381138752E-3</v>
      </c>
      <c r="BY38" s="92">
        <f t="shared" si="136"/>
        <v>5.0000000000000001E-3</v>
      </c>
      <c r="BZ38" s="92">
        <f t="shared" si="137"/>
        <v>0</v>
      </c>
      <c r="CA38" s="92">
        <f t="shared" si="138"/>
        <v>0</v>
      </c>
      <c r="CB38" s="92">
        <f t="shared" si="139"/>
        <v>0</v>
      </c>
      <c r="CC38" s="92">
        <f t="shared" si="140"/>
        <v>0</v>
      </c>
      <c r="CD38" s="92">
        <f t="shared" si="141"/>
        <v>0</v>
      </c>
      <c r="CE38" s="127">
        <f t="shared" si="84"/>
        <v>7.1575361381138753E-3</v>
      </c>
      <c r="CF38" s="91">
        <f t="shared" si="85"/>
        <v>8.9383640007574816E-3</v>
      </c>
      <c r="CG38" s="92">
        <f t="shared" si="142"/>
        <v>9.6120000000000011E-2</v>
      </c>
      <c r="CH38" s="206">
        <f t="shared" si="143"/>
        <v>3.7500000000000003E-3</v>
      </c>
      <c r="CI38" s="92">
        <f t="shared" si="144"/>
        <v>0.25631999999999999</v>
      </c>
      <c r="CJ38" s="93">
        <f t="shared" si="145"/>
        <v>0.09</v>
      </c>
      <c r="CK38" s="92">
        <f t="shared" si="146"/>
        <v>0.45512836400075751</v>
      </c>
      <c r="CL38" s="188">
        <f t="shared" si="147"/>
        <v>0.15</v>
      </c>
      <c r="CM38" s="206">
        <f t="shared" si="148"/>
        <v>0</v>
      </c>
      <c r="CN38" s="206">
        <f t="shared" si="149"/>
        <v>0</v>
      </c>
      <c r="CO38" s="206">
        <f t="shared" si="150"/>
        <v>0</v>
      </c>
      <c r="CP38" s="206">
        <f t="shared" si="151"/>
        <v>0</v>
      </c>
      <c r="CQ38" s="227">
        <f t="shared" si="152"/>
        <v>0</v>
      </c>
      <c r="CR38" s="231">
        <f t="shared" si="86"/>
        <v>0.15</v>
      </c>
      <c r="CS38" s="206">
        <f t="shared" si="153"/>
        <v>0.61228590013887141</v>
      </c>
      <c r="CT38" s="206">
        <f t="shared" si="154"/>
        <v>8.1122859001388719</v>
      </c>
      <c r="CU38" s="206">
        <f t="shared" si="155"/>
        <v>0.92452362901455554</v>
      </c>
      <c r="CV38">
        <f t="shared" si="156"/>
        <v>42.72</v>
      </c>
    </row>
    <row r="39" spans="1:100" x14ac:dyDescent="0.55000000000000004">
      <c r="A39" s="524" t="s">
        <v>281</v>
      </c>
      <c r="B39" s="524"/>
      <c r="C39" s="524"/>
      <c r="K39">
        <v>35</v>
      </c>
      <c r="L39" s="91">
        <f t="shared" si="87"/>
        <v>43.800000000000004</v>
      </c>
      <c r="M39" s="93">
        <f t="shared" si="88"/>
        <v>0.17123287671232876</v>
      </c>
      <c r="N39" s="122">
        <f t="shared" si="69"/>
        <v>1.2176560121765599E-4</v>
      </c>
      <c r="O39" s="97">
        <f t="shared" si="70"/>
        <v>1.0958904109589039E-4</v>
      </c>
      <c r="P39" s="123">
        <f t="shared" si="71"/>
        <v>9.9626400996263983E-5</v>
      </c>
      <c r="Q39" s="127">
        <f t="shared" si="72"/>
        <v>0.34246575342465752</v>
      </c>
      <c r="R39" s="91">
        <f t="shared" si="73"/>
        <v>0.5</v>
      </c>
      <c r="S39" s="92">
        <f t="shared" si="89"/>
        <v>0.54794520547945202</v>
      </c>
      <c r="T39" s="92">
        <f t="shared" si="74"/>
        <v>0.77397260273972601</v>
      </c>
      <c r="U39" s="92">
        <f t="shared" si="90"/>
        <v>1.2357556730029979</v>
      </c>
      <c r="V39" s="93">
        <f t="shared" si="91"/>
        <v>0.30689581975650299</v>
      </c>
      <c r="W39" s="92">
        <f t="shared" si="76"/>
        <v>0.25468479757699791</v>
      </c>
      <c r="X39" s="117">
        <f t="shared" si="92"/>
        <v>0.76041666666666674</v>
      </c>
      <c r="Y39" s="103">
        <f t="shared" si="93"/>
        <v>0.24353120243531207</v>
      </c>
      <c r="Z39" s="103">
        <f t="shared" si="94"/>
        <v>0.61923990216433</v>
      </c>
      <c r="AA39" s="118">
        <f t="shared" si="95"/>
        <v>0.36531911588704058</v>
      </c>
      <c r="AB39" s="117">
        <f t="shared" si="96"/>
        <v>0</v>
      </c>
      <c r="AC39" s="103">
        <f t="shared" si="97"/>
        <v>0</v>
      </c>
      <c r="AD39" s="103">
        <f t="shared" si="98"/>
        <v>0</v>
      </c>
      <c r="AE39" s="118">
        <f t="shared" si="99"/>
        <v>0</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21">
        <f t="shared" si="116"/>
        <v>6.3127327820213366E-2</v>
      </c>
      <c r="AW39" s="21">
        <f t="shared" si="77"/>
        <v>0</v>
      </c>
      <c r="AX39" s="139">
        <f t="shared" si="117"/>
        <v>0</v>
      </c>
      <c r="AY39" s="140">
        <v>35</v>
      </c>
      <c r="AZ39" s="141">
        <f t="shared" si="118"/>
        <v>0</v>
      </c>
      <c r="BA39" s="19">
        <f t="shared" si="119"/>
        <v>142.19255960326527</v>
      </c>
      <c r="BB39" s="142">
        <f t="shared" si="120"/>
        <v>5.246905449360488E-2</v>
      </c>
      <c r="BC39" s="19">
        <f t="shared" si="78"/>
        <v>147.94944487908725</v>
      </c>
      <c r="BD39" s="79">
        <f t="shared" si="121"/>
        <v>5.4593345160383194E-2</v>
      </c>
      <c r="BE39" s="144" t="e">
        <f t="shared" si="122"/>
        <v>#NUM!</v>
      </c>
      <c r="BF39" s="148" t="e">
        <f t="shared" si="123"/>
        <v>#NUM!</v>
      </c>
      <c r="BG39" s="144" t="e">
        <f t="shared" si="124"/>
        <v>#NUM!</v>
      </c>
      <c r="BH39" s="152" t="e">
        <f t="shared" si="125"/>
        <v>#NUM!</v>
      </c>
      <c r="BI39" s="28">
        <f t="shared" si="126"/>
        <v>0</v>
      </c>
      <c r="BJ39" s="29">
        <f t="shared" si="127"/>
        <v>0</v>
      </c>
      <c r="BK39" s="28">
        <f t="shared" si="128"/>
        <v>0</v>
      </c>
      <c r="BL39" s="29">
        <f t="shared" si="129"/>
        <v>0</v>
      </c>
      <c r="BM39" s="28">
        <f t="shared" si="130"/>
        <v>0</v>
      </c>
      <c r="BN39" s="29">
        <f t="shared" si="131"/>
        <v>0</v>
      </c>
      <c r="BO39" s="28">
        <f t="shared" si="132"/>
        <v>0</v>
      </c>
      <c r="BP39" s="29">
        <f t="shared" si="133"/>
        <v>0</v>
      </c>
      <c r="BQ39" s="150">
        <f t="shared" si="134"/>
        <v>0</v>
      </c>
      <c r="BR39" s="29">
        <f t="shared" si="135"/>
        <v>0</v>
      </c>
      <c r="BS39" s="91" t="e">
        <f t="shared" si="79"/>
        <v>#NUM!</v>
      </c>
      <c r="BT39" s="206" t="e">
        <f t="shared" si="80"/>
        <v>#NUM!</v>
      </c>
      <c r="BU39" s="206" t="e">
        <f t="shared" si="81"/>
        <v>#NUM!</v>
      </c>
      <c r="BV39" s="97" t="e">
        <f t="shared" si="82"/>
        <v>#NUM!</v>
      </c>
      <c r="BW39" s="123" t="e">
        <f t="shared" si="83"/>
        <v>#NUM!</v>
      </c>
      <c r="BX39" s="91">
        <f>(M39^2)*'Fly-Buck_Calc'!$B$80</f>
        <v>2.052448864702571E-3</v>
      </c>
      <c r="BY39" s="92">
        <f t="shared" si="136"/>
        <v>5.0000000000000001E-3</v>
      </c>
      <c r="BZ39" s="92">
        <f t="shared" si="137"/>
        <v>0</v>
      </c>
      <c r="CA39" s="92">
        <f t="shared" si="138"/>
        <v>0</v>
      </c>
      <c r="CB39" s="92">
        <f t="shared" si="139"/>
        <v>0</v>
      </c>
      <c r="CC39" s="92">
        <f t="shared" si="140"/>
        <v>0</v>
      </c>
      <c r="CD39" s="92">
        <f t="shared" si="141"/>
        <v>0</v>
      </c>
      <c r="CE39" s="127">
        <f t="shared" si="84"/>
        <v>7.0524488647025711E-3</v>
      </c>
      <c r="CF39" s="91">
        <f t="shared" si="85"/>
        <v>8.5030024394820783E-3</v>
      </c>
      <c r="CG39" s="92">
        <f t="shared" si="142"/>
        <v>9.8550000000000026E-2</v>
      </c>
      <c r="CH39" s="206">
        <f t="shared" si="143"/>
        <v>3.7500000000000003E-3</v>
      </c>
      <c r="CI39" s="92">
        <f t="shared" si="144"/>
        <v>0.26280000000000003</v>
      </c>
      <c r="CJ39" s="93">
        <f t="shared" si="145"/>
        <v>0.09</v>
      </c>
      <c r="CK39" s="92">
        <f t="shared" si="146"/>
        <v>0.46360300243948216</v>
      </c>
      <c r="CL39" s="188">
        <f t="shared" si="147"/>
        <v>0.15</v>
      </c>
      <c r="CM39" s="206">
        <f t="shared" si="148"/>
        <v>0</v>
      </c>
      <c r="CN39" s="206">
        <f t="shared" si="149"/>
        <v>0</v>
      </c>
      <c r="CO39" s="206">
        <f t="shared" si="150"/>
        <v>0</v>
      </c>
      <c r="CP39" s="206">
        <f t="shared" si="151"/>
        <v>0</v>
      </c>
      <c r="CQ39" s="227">
        <f t="shared" si="152"/>
        <v>0</v>
      </c>
      <c r="CR39" s="231">
        <f t="shared" si="86"/>
        <v>0.15</v>
      </c>
      <c r="CS39" s="206">
        <f t="shared" si="153"/>
        <v>0.62065545130418476</v>
      </c>
      <c r="CT39" s="206">
        <f t="shared" si="154"/>
        <v>8.1206554513041844</v>
      </c>
      <c r="CU39" s="206">
        <f t="shared" si="155"/>
        <v>0.92357076900676693</v>
      </c>
      <c r="CV39">
        <f t="shared" si="156"/>
        <v>43.800000000000004</v>
      </c>
    </row>
    <row r="40" spans="1:100" x14ac:dyDescent="0.55000000000000004">
      <c r="A40" s="12" t="s">
        <v>419</v>
      </c>
      <c r="B40" s="190">
        <f>(ILavg_FlyB-IoutPri_FB)*(B10/(VoutPri_Ripple_FB*(10^-3)))</f>
        <v>1.25E-4</v>
      </c>
      <c r="C40" s="12"/>
      <c r="K40">
        <v>36</v>
      </c>
      <c r="L40" s="91">
        <f t="shared" si="87"/>
        <v>44.88</v>
      </c>
      <c r="M40" s="93">
        <f t="shared" si="88"/>
        <v>0.16711229946524064</v>
      </c>
      <c r="N40" s="122">
        <f t="shared" si="69"/>
        <v>1.2329174093879974E-4</v>
      </c>
      <c r="O40" s="97">
        <f t="shared" si="70"/>
        <v>1.1096256684491977E-4</v>
      </c>
      <c r="P40" s="123">
        <f t="shared" si="71"/>
        <v>1.0087506076810887E-4</v>
      </c>
      <c r="Q40" s="127">
        <f t="shared" si="72"/>
        <v>0.33422459893048129</v>
      </c>
      <c r="R40" s="91">
        <f t="shared" si="73"/>
        <v>0.5</v>
      </c>
      <c r="S40" s="92">
        <f t="shared" si="89"/>
        <v>0.55481283422459904</v>
      </c>
      <c r="T40" s="92">
        <f t="shared" si="74"/>
        <v>0.77740641711229952</v>
      </c>
      <c r="U40" s="92">
        <f t="shared" si="90"/>
        <v>1.2268213064320821</v>
      </c>
      <c r="V40" s="93">
        <f t="shared" si="91"/>
        <v>0.30352840395427244</v>
      </c>
      <c r="W40" s="92">
        <f t="shared" si="76"/>
        <v>0.25338305265835703</v>
      </c>
      <c r="X40" s="117">
        <f t="shared" si="92"/>
        <v>0.75100401606425704</v>
      </c>
      <c r="Y40" s="103">
        <f t="shared" si="93"/>
        <v>0.24658348187759957</v>
      </c>
      <c r="Z40" s="103">
        <f t="shared" si="94"/>
        <v>0.61552860165187306</v>
      </c>
      <c r="AA40" s="118">
        <f t="shared" si="95"/>
        <v>0.35899228327571364</v>
      </c>
      <c r="AB40" s="117">
        <f t="shared" si="96"/>
        <v>0</v>
      </c>
      <c r="AC40" s="103">
        <f t="shared" si="97"/>
        <v>0</v>
      </c>
      <c r="AD40" s="103">
        <f t="shared" si="98"/>
        <v>0</v>
      </c>
      <c r="AE40" s="118">
        <f t="shared" si="99"/>
        <v>0</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21">
        <f t="shared" si="116"/>
        <v>6.391852928854827E-2</v>
      </c>
      <c r="AW40" s="21">
        <f t="shared" si="77"/>
        <v>0</v>
      </c>
      <c r="AX40" s="139">
        <f t="shared" si="117"/>
        <v>0</v>
      </c>
      <c r="AY40" s="140">
        <v>36</v>
      </c>
      <c r="AZ40" s="141">
        <f t="shared" si="118"/>
        <v>0</v>
      </c>
      <c r="BA40" s="19">
        <f t="shared" si="119"/>
        <v>146.98255414474403</v>
      </c>
      <c r="BB40" s="142">
        <f t="shared" si="120"/>
        <v>5.4236562479410541E-2</v>
      </c>
      <c r="BC40" s="19">
        <f t="shared" si="78"/>
        <v>152.55287065905779</v>
      </c>
      <c r="BD40" s="79">
        <f t="shared" si="121"/>
        <v>5.629200927319232E-2</v>
      </c>
      <c r="BE40" s="144" t="e">
        <f t="shared" si="122"/>
        <v>#NUM!</v>
      </c>
      <c r="BF40" s="148" t="e">
        <f t="shared" si="123"/>
        <v>#NUM!</v>
      </c>
      <c r="BG40" s="144" t="e">
        <f t="shared" si="124"/>
        <v>#NUM!</v>
      </c>
      <c r="BH40" s="152" t="e">
        <f t="shared" si="125"/>
        <v>#NUM!</v>
      </c>
      <c r="BI40" s="28">
        <f t="shared" si="126"/>
        <v>0</v>
      </c>
      <c r="BJ40" s="29">
        <f t="shared" si="127"/>
        <v>0</v>
      </c>
      <c r="BK40" s="28">
        <f t="shared" si="128"/>
        <v>0</v>
      </c>
      <c r="BL40" s="29">
        <f t="shared" si="129"/>
        <v>0</v>
      </c>
      <c r="BM40" s="28">
        <f t="shared" si="130"/>
        <v>0</v>
      </c>
      <c r="BN40" s="29">
        <f t="shared" si="131"/>
        <v>0</v>
      </c>
      <c r="BO40" s="28">
        <f t="shared" si="132"/>
        <v>0</v>
      </c>
      <c r="BP40" s="29">
        <f t="shared" si="133"/>
        <v>0</v>
      </c>
      <c r="BQ40" s="150">
        <f t="shared" si="134"/>
        <v>0</v>
      </c>
      <c r="BR40" s="29">
        <f t="shared" si="135"/>
        <v>0</v>
      </c>
      <c r="BS40" s="91" t="e">
        <f t="shared" si="79"/>
        <v>#NUM!</v>
      </c>
      <c r="BT40" s="206" t="e">
        <f t="shared" si="80"/>
        <v>#NUM!</v>
      </c>
      <c r="BU40" s="206" t="e">
        <f t="shared" si="81"/>
        <v>#NUM!</v>
      </c>
      <c r="BV40" s="97" t="e">
        <f t="shared" si="82"/>
        <v>#NUM!</v>
      </c>
      <c r="BW40" s="123" t="e">
        <f t="shared" si="83"/>
        <v>#NUM!</v>
      </c>
      <c r="BX40" s="91">
        <f>(M40^2)*'Fly-Buck_Calc'!$B$80</f>
        <v>1.9548564442792189E-3</v>
      </c>
      <c r="BY40" s="92">
        <f t="shared" si="136"/>
        <v>5.0000000000000001E-3</v>
      </c>
      <c r="BZ40" s="92">
        <f t="shared" si="137"/>
        <v>0</v>
      </c>
      <c r="CA40" s="92">
        <f t="shared" si="138"/>
        <v>0</v>
      </c>
      <c r="CB40" s="92">
        <f t="shared" si="139"/>
        <v>0</v>
      </c>
      <c r="CC40" s="92">
        <f t="shared" si="140"/>
        <v>0</v>
      </c>
      <c r="CD40" s="92">
        <f t="shared" si="141"/>
        <v>0</v>
      </c>
      <c r="CE40" s="127">
        <f t="shared" si="84"/>
        <v>6.954856444279219E-3</v>
      </c>
      <c r="CF40" s="91">
        <f t="shared" si="85"/>
        <v>8.0986909834424772E-3</v>
      </c>
      <c r="CG40" s="92">
        <f t="shared" si="142"/>
        <v>0.10098000000000001</v>
      </c>
      <c r="CH40" s="206">
        <f t="shared" si="143"/>
        <v>3.7500000000000003E-3</v>
      </c>
      <c r="CI40" s="92">
        <f t="shared" si="144"/>
        <v>0.26928000000000002</v>
      </c>
      <c r="CJ40" s="93">
        <f t="shared" si="145"/>
        <v>0.09</v>
      </c>
      <c r="CK40" s="92">
        <f t="shared" si="146"/>
        <v>0.47210869098344255</v>
      </c>
      <c r="CL40" s="188">
        <f t="shared" si="147"/>
        <v>0.15</v>
      </c>
      <c r="CM40" s="206">
        <f t="shared" si="148"/>
        <v>0</v>
      </c>
      <c r="CN40" s="206">
        <f t="shared" si="149"/>
        <v>0</v>
      </c>
      <c r="CO40" s="206">
        <f t="shared" si="150"/>
        <v>0</v>
      </c>
      <c r="CP40" s="206">
        <f t="shared" si="151"/>
        <v>0</v>
      </c>
      <c r="CQ40" s="227">
        <f t="shared" si="152"/>
        <v>0</v>
      </c>
      <c r="CR40" s="231">
        <f t="shared" si="86"/>
        <v>0.15</v>
      </c>
      <c r="CS40" s="206">
        <f t="shared" si="153"/>
        <v>0.62906354742772175</v>
      </c>
      <c r="CT40" s="206">
        <f t="shared" si="154"/>
        <v>8.1290635474277213</v>
      </c>
      <c r="CU40" s="206">
        <f t="shared" si="155"/>
        <v>0.92261549639050666</v>
      </c>
      <c r="CV40">
        <f t="shared" si="156"/>
        <v>44.88</v>
      </c>
    </row>
    <row r="41" spans="1:100" x14ac:dyDescent="0.55000000000000004">
      <c r="A41" s="12" t="s">
        <v>420</v>
      </c>
      <c r="B41" s="12">
        <f>COUTPri_FB</f>
        <v>9.9999999999999991E-5</v>
      </c>
      <c r="C41" s="12" t="s">
        <v>343</v>
      </c>
      <c r="K41">
        <v>37</v>
      </c>
      <c r="L41" s="91">
        <f t="shared" si="87"/>
        <v>45.96</v>
      </c>
      <c r="M41" s="93">
        <f t="shared" si="88"/>
        <v>0.16318537859007834</v>
      </c>
      <c r="N41" s="122">
        <f t="shared" si="69"/>
        <v>1.2474615607774878E-4</v>
      </c>
      <c r="O41" s="97">
        <f t="shared" si="70"/>
        <v>1.1227154046997388E-4</v>
      </c>
      <c r="P41" s="123">
        <f t="shared" si="71"/>
        <v>1.0206503679088534E-4</v>
      </c>
      <c r="Q41" s="127">
        <f t="shared" si="72"/>
        <v>0.32637075718015668</v>
      </c>
      <c r="R41" s="91">
        <f t="shared" si="73"/>
        <v>0.5</v>
      </c>
      <c r="S41" s="92">
        <f t="shared" si="89"/>
        <v>0.56135770234986948</v>
      </c>
      <c r="T41" s="92">
        <f t="shared" si="74"/>
        <v>0.78067885117493474</v>
      </c>
      <c r="U41" s="92">
        <f t="shared" si="90"/>
        <v>1.2183629909242666</v>
      </c>
      <c r="V41" s="93">
        <f t="shared" si="91"/>
        <v>0.30027196431940101</v>
      </c>
      <c r="W41" s="92">
        <f t="shared" si="76"/>
        <v>0.25205908983935577</v>
      </c>
      <c r="X41" s="117">
        <f t="shared" si="92"/>
        <v>0.74224806201550386</v>
      </c>
      <c r="Y41" s="103">
        <f t="shared" si="93"/>
        <v>0.24949231215549761</v>
      </c>
      <c r="Z41" s="103">
        <f t="shared" si="94"/>
        <v>0.61206068440324368</v>
      </c>
      <c r="AA41" s="118">
        <f t="shared" si="95"/>
        <v>0.35301314620303742</v>
      </c>
      <c r="AB41" s="117">
        <f t="shared" si="96"/>
        <v>0</v>
      </c>
      <c r="AC41" s="103">
        <f t="shared" si="97"/>
        <v>0</v>
      </c>
      <c r="AD41" s="103">
        <f t="shared" si="98"/>
        <v>0</v>
      </c>
      <c r="AE41" s="118">
        <f t="shared" si="99"/>
        <v>0</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21">
        <f t="shared" si="116"/>
        <v>6.4672546353671603E-2</v>
      </c>
      <c r="AW41" s="21">
        <f t="shared" si="77"/>
        <v>0</v>
      </c>
      <c r="AX41" s="139">
        <f t="shared" si="117"/>
        <v>0</v>
      </c>
      <c r="AY41" s="140">
        <v>37</v>
      </c>
      <c r="AZ41" s="141">
        <f t="shared" si="118"/>
        <v>0</v>
      </c>
      <c r="BA41" s="19">
        <f t="shared" si="119"/>
        <v>151.63996224129878</v>
      </c>
      <c r="BB41" s="142">
        <f t="shared" si="120"/>
        <v>5.5955146067039246E-2</v>
      </c>
      <c r="BC41" s="19">
        <f t="shared" si="78"/>
        <v>157.01806629473475</v>
      </c>
      <c r="BD41" s="79">
        <f t="shared" si="121"/>
        <v>5.7939666462757125E-2</v>
      </c>
      <c r="BE41" s="144" t="e">
        <f t="shared" si="122"/>
        <v>#NUM!</v>
      </c>
      <c r="BF41" s="148" t="e">
        <f t="shared" si="123"/>
        <v>#NUM!</v>
      </c>
      <c r="BG41" s="144" t="e">
        <f t="shared" si="124"/>
        <v>#NUM!</v>
      </c>
      <c r="BH41" s="152" t="e">
        <f t="shared" si="125"/>
        <v>#NUM!</v>
      </c>
      <c r="BI41" s="28">
        <f t="shared" si="126"/>
        <v>0</v>
      </c>
      <c r="BJ41" s="29">
        <f t="shared" si="127"/>
        <v>0</v>
      </c>
      <c r="BK41" s="28">
        <f t="shared" si="128"/>
        <v>0</v>
      </c>
      <c r="BL41" s="29">
        <f t="shared" si="129"/>
        <v>0</v>
      </c>
      <c r="BM41" s="28">
        <f t="shared" si="130"/>
        <v>0</v>
      </c>
      <c r="BN41" s="29">
        <f t="shared" si="131"/>
        <v>0</v>
      </c>
      <c r="BO41" s="28">
        <f t="shared" si="132"/>
        <v>0</v>
      </c>
      <c r="BP41" s="29">
        <f t="shared" si="133"/>
        <v>0</v>
      </c>
      <c r="BQ41" s="150">
        <f t="shared" si="134"/>
        <v>0</v>
      </c>
      <c r="BR41" s="29">
        <f t="shared" si="135"/>
        <v>0</v>
      </c>
      <c r="BS41" s="91" t="e">
        <f t="shared" si="79"/>
        <v>#NUM!</v>
      </c>
      <c r="BT41" s="206" t="e">
        <f t="shared" si="80"/>
        <v>#NUM!</v>
      </c>
      <c r="BU41" s="206" t="e">
        <f t="shared" si="81"/>
        <v>#NUM!</v>
      </c>
      <c r="BV41" s="97" t="e">
        <f t="shared" si="82"/>
        <v>#NUM!</v>
      </c>
      <c r="BW41" s="123" t="e">
        <f t="shared" si="83"/>
        <v>#NUM!</v>
      </c>
      <c r="BX41" s="91">
        <f>(M41^2)*'Fly-Buck_Calc'!$B$80</f>
        <v>1.8640627449911038E-3</v>
      </c>
      <c r="BY41" s="92">
        <f t="shared" si="136"/>
        <v>5.0000000000000001E-3</v>
      </c>
      <c r="BZ41" s="92">
        <f t="shared" si="137"/>
        <v>0</v>
      </c>
      <c r="CA41" s="92">
        <f t="shared" si="138"/>
        <v>0</v>
      </c>
      <c r="CB41" s="92">
        <f t="shared" si="139"/>
        <v>0</v>
      </c>
      <c r="CC41" s="92">
        <f t="shared" si="140"/>
        <v>0</v>
      </c>
      <c r="CD41" s="92">
        <f t="shared" si="141"/>
        <v>0</v>
      </c>
      <c r="CE41" s="127">
        <f t="shared" si="84"/>
        <v>6.8640627449911042E-3</v>
      </c>
      <c r="CF41" s="91">
        <f t="shared" si="85"/>
        <v>7.722545657820286E-3</v>
      </c>
      <c r="CG41" s="92">
        <f t="shared" si="142"/>
        <v>0.10341000000000002</v>
      </c>
      <c r="CH41" s="206">
        <f t="shared" si="143"/>
        <v>3.7500000000000003E-3</v>
      </c>
      <c r="CI41" s="92">
        <f t="shared" si="144"/>
        <v>0.27576000000000001</v>
      </c>
      <c r="CJ41" s="93">
        <f t="shared" si="145"/>
        <v>0.09</v>
      </c>
      <c r="CK41" s="92">
        <f t="shared" si="146"/>
        <v>0.48064254565782027</v>
      </c>
      <c r="CL41" s="188">
        <f t="shared" si="147"/>
        <v>0.15</v>
      </c>
      <c r="CM41" s="206">
        <f t="shared" si="148"/>
        <v>0</v>
      </c>
      <c r="CN41" s="206">
        <f t="shared" si="149"/>
        <v>0</v>
      </c>
      <c r="CO41" s="206">
        <f t="shared" si="150"/>
        <v>0</v>
      </c>
      <c r="CP41" s="206">
        <f t="shared" si="151"/>
        <v>0</v>
      </c>
      <c r="CQ41" s="227">
        <f t="shared" si="152"/>
        <v>0</v>
      </c>
      <c r="CR41" s="231">
        <f t="shared" si="86"/>
        <v>0.15</v>
      </c>
      <c r="CS41" s="206">
        <f t="shared" si="153"/>
        <v>0.63750660840281137</v>
      </c>
      <c r="CT41" s="206">
        <f t="shared" si="154"/>
        <v>8.1375066084028109</v>
      </c>
      <c r="CU41" s="206">
        <f t="shared" si="155"/>
        <v>0.92165823770336242</v>
      </c>
      <c r="CV41">
        <f t="shared" si="156"/>
        <v>45.96</v>
      </c>
    </row>
    <row r="42" spans="1:100" x14ac:dyDescent="0.55000000000000004">
      <c r="A42" s="12" t="s">
        <v>386</v>
      </c>
      <c r="B42" s="19">
        <f>IF(AND(Vout1&lt;&gt;0,Iout1&lt;&gt;0),(Iout1*B10)/(Vout1_Ripple*(10^-3)),0)</f>
        <v>8.3333333333333331E-5</v>
      </c>
      <c r="C42" s="12" t="s">
        <v>343</v>
      </c>
      <c r="K42">
        <v>38</v>
      </c>
      <c r="L42" s="91">
        <f t="shared" si="87"/>
        <v>47.040000000000006</v>
      </c>
      <c r="M42" s="93">
        <f t="shared" si="88"/>
        <v>0.15943877551020405</v>
      </c>
      <c r="N42" s="122">
        <f t="shared" si="69"/>
        <v>1.2613378684807257E-4</v>
      </c>
      <c r="O42" s="97">
        <f t="shared" si="70"/>
        <v>1.1352040816326531E-4</v>
      </c>
      <c r="P42" s="123">
        <f t="shared" si="71"/>
        <v>1.0320037105751391E-4</v>
      </c>
      <c r="Q42" s="127">
        <f t="shared" si="72"/>
        <v>0.3188775510204081</v>
      </c>
      <c r="R42" s="91">
        <f t="shared" si="73"/>
        <v>0.5</v>
      </c>
      <c r="S42" s="92">
        <f t="shared" si="89"/>
        <v>0.56760204081632659</v>
      </c>
      <c r="T42" s="92">
        <f t="shared" si="74"/>
        <v>0.78380102040816335</v>
      </c>
      <c r="U42" s="92">
        <f t="shared" si="90"/>
        <v>1.210339967986412</v>
      </c>
      <c r="V42" s="93">
        <f t="shared" si="91"/>
        <v>0.2971203594363277</v>
      </c>
      <c r="W42" s="92">
        <f t="shared" si="76"/>
        <v>0.25071853711957426</v>
      </c>
      <c r="X42" s="117">
        <f t="shared" si="92"/>
        <v>0.73408239700374522</v>
      </c>
      <c r="Y42" s="103">
        <f t="shared" si="93"/>
        <v>0.25226757369614522</v>
      </c>
      <c r="Z42" s="103">
        <f t="shared" si="94"/>
        <v>0.60881307236672288</v>
      </c>
      <c r="AA42" s="118">
        <f t="shared" si="95"/>
        <v>0.34735192108956092</v>
      </c>
      <c r="AB42" s="117">
        <f t="shared" si="96"/>
        <v>0</v>
      </c>
      <c r="AC42" s="103">
        <f t="shared" si="97"/>
        <v>0</v>
      </c>
      <c r="AD42" s="103">
        <f t="shared" si="98"/>
        <v>0</v>
      </c>
      <c r="AE42" s="118">
        <f t="shared" si="99"/>
        <v>0</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21">
        <f t="shared" si="116"/>
        <v>6.5391940186212735E-2</v>
      </c>
      <c r="AW42" s="21">
        <f t="shared" si="77"/>
        <v>0</v>
      </c>
      <c r="AX42" s="139">
        <f t="shared" si="117"/>
        <v>0</v>
      </c>
      <c r="AY42" s="140">
        <v>38</v>
      </c>
      <c r="AZ42" s="141">
        <f t="shared" si="118"/>
        <v>0</v>
      </c>
      <c r="BA42" s="19">
        <f t="shared" si="119"/>
        <v>156.16834413469968</v>
      </c>
      <c r="BB42" s="142">
        <f t="shared" si="120"/>
        <v>5.7626118985704182E-2</v>
      </c>
      <c r="BC42" s="19">
        <f t="shared" si="78"/>
        <v>161.3496805964289</v>
      </c>
      <c r="BD42" s="79">
        <f t="shared" si="121"/>
        <v>5.9538032140082263E-2</v>
      </c>
      <c r="BE42" s="144" t="e">
        <f t="shared" si="122"/>
        <v>#NUM!</v>
      </c>
      <c r="BF42" s="148" t="e">
        <f t="shared" si="123"/>
        <v>#NUM!</v>
      </c>
      <c r="BG42" s="144" t="e">
        <f t="shared" si="124"/>
        <v>#NUM!</v>
      </c>
      <c r="BH42" s="152" t="e">
        <f t="shared" si="125"/>
        <v>#NUM!</v>
      </c>
      <c r="BI42" s="28">
        <f t="shared" si="126"/>
        <v>0</v>
      </c>
      <c r="BJ42" s="29">
        <f t="shared" si="127"/>
        <v>0</v>
      </c>
      <c r="BK42" s="28">
        <f t="shared" si="128"/>
        <v>0</v>
      </c>
      <c r="BL42" s="29">
        <f t="shared" si="129"/>
        <v>0</v>
      </c>
      <c r="BM42" s="28">
        <f t="shared" si="130"/>
        <v>0</v>
      </c>
      <c r="BN42" s="29">
        <f t="shared" si="131"/>
        <v>0</v>
      </c>
      <c r="BO42" s="28">
        <f t="shared" si="132"/>
        <v>0</v>
      </c>
      <c r="BP42" s="29">
        <f t="shared" si="133"/>
        <v>0</v>
      </c>
      <c r="BQ42" s="150">
        <f t="shared" si="134"/>
        <v>0</v>
      </c>
      <c r="BR42" s="29">
        <f t="shared" si="135"/>
        <v>0</v>
      </c>
      <c r="BS42" s="91" t="e">
        <f t="shared" si="79"/>
        <v>#NUM!</v>
      </c>
      <c r="BT42" s="206" t="e">
        <f t="shared" si="80"/>
        <v>#NUM!</v>
      </c>
      <c r="BU42" s="206" t="e">
        <f t="shared" si="81"/>
        <v>#NUM!</v>
      </c>
      <c r="BV42" s="97" t="e">
        <f t="shared" si="82"/>
        <v>#NUM!</v>
      </c>
      <c r="BW42" s="123" t="e">
        <f t="shared" si="83"/>
        <v>#NUM!</v>
      </c>
      <c r="BX42" s="91">
        <f>(M42^2)*'Fly-Buck_Calc'!$B$80</f>
        <v>1.7794506195335273E-3</v>
      </c>
      <c r="BY42" s="92">
        <f t="shared" si="136"/>
        <v>5.0000000000000001E-3</v>
      </c>
      <c r="BZ42" s="92">
        <f t="shared" si="137"/>
        <v>0</v>
      </c>
      <c r="CA42" s="92">
        <f t="shared" si="138"/>
        <v>0</v>
      </c>
      <c r="CB42" s="92">
        <f t="shared" si="139"/>
        <v>0</v>
      </c>
      <c r="CC42" s="92">
        <f t="shared" si="140"/>
        <v>0</v>
      </c>
      <c r="CD42" s="92">
        <f t="shared" si="141"/>
        <v>0</v>
      </c>
      <c r="CE42" s="127">
        <f t="shared" si="84"/>
        <v>6.7794506195335271E-3</v>
      </c>
      <c r="CF42" s="91">
        <f t="shared" si="85"/>
        <v>7.3720097094960397E-3</v>
      </c>
      <c r="CG42" s="92">
        <f t="shared" si="142"/>
        <v>0.10584000000000003</v>
      </c>
      <c r="CH42" s="206">
        <f t="shared" si="143"/>
        <v>3.7500000000000003E-3</v>
      </c>
      <c r="CI42" s="92">
        <f t="shared" si="144"/>
        <v>0.28224000000000005</v>
      </c>
      <c r="CJ42" s="93">
        <f t="shared" si="145"/>
        <v>0.09</v>
      </c>
      <c r="CK42" s="92">
        <f t="shared" si="146"/>
        <v>0.48920200970949612</v>
      </c>
      <c r="CL42" s="188">
        <f t="shared" si="147"/>
        <v>0.15</v>
      </c>
      <c r="CM42" s="206">
        <f t="shared" si="148"/>
        <v>0</v>
      </c>
      <c r="CN42" s="206">
        <f t="shared" si="149"/>
        <v>0</v>
      </c>
      <c r="CO42" s="206">
        <f t="shared" si="150"/>
        <v>0</v>
      </c>
      <c r="CP42" s="206">
        <f t="shared" si="151"/>
        <v>0</v>
      </c>
      <c r="CQ42" s="227">
        <f t="shared" si="152"/>
        <v>0</v>
      </c>
      <c r="CR42" s="231">
        <f t="shared" si="86"/>
        <v>0.15</v>
      </c>
      <c r="CS42" s="206">
        <f t="shared" si="153"/>
        <v>0.6459814603290297</v>
      </c>
      <c r="CT42" s="206">
        <f t="shared" si="154"/>
        <v>8.145981460329029</v>
      </c>
      <c r="CU42" s="206">
        <f t="shared" si="155"/>
        <v>0.92069937017718961</v>
      </c>
      <c r="CV42">
        <f t="shared" si="156"/>
        <v>47.040000000000006</v>
      </c>
    </row>
    <row r="43" spans="1:100" x14ac:dyDescent="0.55000000000000004">
      <c r="A43" s="185" t="s">
        <v>387</v>
      </c>
      <c r="B43" s="12">
        <f>COUT1_FB</f>
        <v>1.9999999999999998E-5</v>
      </c>
      <c r="C43" s="12" t="s">
        <v>343</v>
      </c>
      <c r="K43">
        <v>39</v>
      </c>
      <c r="L43" s="91">
        <f t="shared" si="87"/>
        <v>48.120000000000005</v>
      </c>
      <c r="M43" s="93">
        <f t="shared" si="88"/>
        <v>0.15586034912718202</v>
      </c>
      <c r="N43" s="122">
        <f t="shared" si="69"/>
        <v>1.2745912995289552E-4</v>
      </c>
      <c r="O43" s="97">
        <f t="shared" si="70"/>
        <v>1.1471321695760596E-4</v>
      </c>
      <c r="P43" s="123">
        <f t="shared" si="71"/>
        <v>1.0428474268873269E-4</v>
      </c>
      <c r="Q43" s="127">
        <f t="shared" si="72"/>
        <v>0.31172069825436405</v>
      </c>
      <c r="R43" s="91">
        <f t="shared" si="73"/>
        <v>0.5</v>
      </c>
      <c r="S43" s="92">
        <f t="shared" si="89"/>
        <v>0.57356608478802995</v>
      </c>
      <c r="T43" s="92">
        <f t="shared" si="74"/>
        <v>0.78678304239401498</v>
      </c>
      <c r="U43" s="92">
        <f t="shared" si="90"/>
        <v>1.2027162032652217</v>
      </c>
      <c r="V43" s="93">
        <f t="shared" si="91"/>
        <v>0.29406792913480467</v>
      </c>
      <c r="W43" s="92">
        <f t="shared" si="76"/>
        <v>0.24936619361009107</v>
      </c>
      <c r="X43" s="117">
        <f t="shared" si="92"/>
        <v>0.72644927536231885</v>
      </c>
      <c r="Y43" s="103">
        <f t="shared" si="93"/>
        <v>0.25491825990579109</v>
      </c>
      <c r="Z43" s="103">
        <f t="shared" si="94"/>
        <v>0.60576551608694462</v>
      </c>
      <c r="AA43" s="118">
        <f t="shared" si="95"/>
        <v>0.34198225170333385</v>
      </c>
      <c r="AB43" s="117">
        <f t="shared" si="96"/>
        <v>0</v>
      </c>
      <c r="AC43" s="103">
        <f t="shared" si="97"/>
        <v>0</v>
      </c>
      <c r="AD43" s="103">
        <f t="shared" si="98"/>
        <v>0</v>
      </c>
      <c r="AE43" s="118">
        <f t="shared" si="99"/>
        <v>0</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21">
        <f t="shared" si="116"/>
        <v>6.6079042026270726E-2</v>
      </c>
      <c r="AW43" s="21">
        <f t="shared" si="77"/>
        <v>0</v>
      </c>
      <c r="AX43" s="139">
        <f t="shared" si="117"/>
        <v>0</v>
      </c>
      <c r="AY43" s="140">
        <v>39</v>
      </c>
      <c r="AZ43" s="141">
        <f t="shared" si="118"/>
        <v>0</v>
      </c>
      <c r="BA43" s="19">
        <f t="shared" si="119"/>
        <v>160.5713710465144</v>
      </c>
      <c r="BB43" s="142">
        <f t="shared" si="120"/>
        <v>5.9250835916163813E-2</v>
      </c>
      <c r="BC43" s="19">
        <f t="shared" si="78"/>
        <v>165.5523375234028</v>
      </c>
      <c r="BD43" s="79">
        <f t="shared" si="121"/>
        <v>6.1088812546135629E-2</v>
      </c>
      <c r="BE43" s="144" t="e">
        <f t="shared" si="122"/>
        <v>#NUM!</v>
      </c>
      <c r="BF43" s="148" t="e">
        <f t="shared" si="123"/>
        <v>#NUM!</v>
      </c>
      <c r="BG43" s="144" t="e">
        <f t="shared" si="124"/>
        <v>#NUM!</v>
      </c>
      <c r="BH43" s="152" t="e">
        <f t="shared" si="125"/>
        <v>#NUM!</v>
      </c>
      <c r="BI43" s="28">
        <f t="shared" si="126"/>
        <v>0</v>
      </c>
      <c r="BJ43" s="29">
        <f t="shared" si="127"/>
        <v>0</v>
      </c>
      <c r="BK43" s="28">
        <f t="shared" si="128"/>
        <v>0</v>
      </c>
      <c r="BL43" s="29">
        <f t="shared" si="129"/>
        <v>0</v>
      </c>
      <c r="BM43" s="28">
        <f t="shared" si="130"/>
        <v>0</v>
      </c>
      <c r="BN43" s="29">
        <f t="shared" si="131"/>
        <v>0</v>
      </c>
      <c r="BO43" s="28">
        <f t="shared" si="132"/>
        <v>0</v>
      </c>
      <c r="BP43" s="29">
        <f t="shared" si="133"/>
        <v>0</v>
      </c>
      <c r="BQ43" s="150">
        <f t="shared" si="134"/>
        <v>0</v>
      </c>
      <c r="BR43" s="29">
        <f t="shared" si="135"/>
        <v>0</v>
      </c>
      <c r="BS43" s="91" t="e">
        <f t="shared" si="79"/>
        <v>#NUM!</v>
      </c>
      <c r="BT43" s="206" t="e">
        <f t="shared" si="80"/>
        <v>#NUM!</v>
      </c>
      <c r="BU43" s="206" t="e">
        <f t="shared" si="81"/>
        <v>#NUM!</v>
      </c>
      <c r="BV43" s="97" t="e">
        <f t="shared" si="82"/>
        <v>#NUM!</v>
      </c>
      <c r="BW43" s="123" t="e">
        <f t="shared" si="83"/>
        <v>#NUM!</v>
      </c>
      <c r="BX43" s="91">
        <f>(M43^2)*'Fly-Buck_Calc'!$B$80</f>
        <v>1.700471390103295E-3</v>
      </c>
      <c r="BY43" s="92">
        <f t="shared" si="136"/>
        <v>5.0000000000000001E-3</v>
      </c>
      <c r="BZ43" s="92">
        <f t="shared" si="137"/>
        <v>0</v>
      </c>
      <c r="CA43" s="92">
        <f t="shared" si="138"/>
        <v>0</v>
      </c>
      <c r="CB43" s="92">
        <f t="shared" si="139"/>
        <v>0</v>
      </c>
      <c r="CC43" s="92">
        <f t="shared" si="140"/>
        <v>0</v>
      </c>
      <c r="CD43" s="92">
        <f t="shared" si="141"/>
        <v>0</v>
      </c>
      <c r="CE43" s="127">
        <f t="shared" si="84"/>
        <v>6.7004713901032947E-3</v>
      </c>
      <c r="CF43" s="91">
        <f t="shared" si="85"/>
        <v>7.0448100447136498E-3</v>
      </c>
      <c r="CG43" s="92">
        <f t="shared" si="142"/>
        <v>0.10827000000000003</v>
      </c>
      <c r="CH43" s="206">
        <f t="shared" si="143"/>
        <v>3.7500000000000003E-3</v>
      </c>
      <c r="CI43" s="92">
        <f t="shared" si="144"/>
        <v>0.28872000000000003</v>
      </c>
      <c r="CJ43" s="93">
        <f t="shared" si="145"/>
        <v>0.09</v>
      </c>
      <c r="CK43" s="92">
        <f t="shared" si="146"/>
        <v>0.49778481004471375</v>
      </c>
      <c r="CL43" s="188">
        <f t="shared" si="147"/>
        <v>0.15</v>
      </c>
      <c r="CM43" s="206">
        <f t="shared" si="148"/>
        <v>0</v>
      </c>
      <c r="CN43" s="206">
        <f t="shared" si="149"/>
        <v>0</v>
      </c>
      <c r="CO43" s="206">
        <f t="shared" si="150"/>
        <v>0</v>
      </c>
      <c r="CP43" s="206">
        <f t="shared" si="151"/>
        <v>0</v>
      </c>
      <c r="CQ43" s="227">
        <f t="shared" si="152"/>
        <v>0</v>
      </c>
      <c r="CR43" s="231">
        <f t="shared" si="86"/>
        <v>0.15</v>
      </c>
      <c r="CS43" s="206">
        <f t="shared" si="153"/>
        <v>0.6544852814348171</v>
      </c>
      <c r="CT43" s="206">
        <f t="shared" si="154"/>
        <v>8.1544852814348179</v>
      </c>
      <c r="CU43" s="206">
        <f t="shared" si="155"/>
        <v>0.91973922830851462</v>
      </c>
      <c r="CV43">
        <f t="shared" si="156"/>
        <v>48.120000000000005</v>
      </c>
    </row>
    <row r="44" spans="1:100" x14ac:dyDescent="0.55000000000000004">
      <c r="A44" s="12" t="s">
        <v>388</v>
      </c>
      <c r="B44" s="19">
        <f>IF(AND(Vout2&lt;&gt;0,Iout2&lt;&gt;0),(Iout2*B10)/(Vout2_Ripple*(10^-3)),0)</f>
        <v>0</v>
      </c>
      <c r="C44" s="12" t="s">
        <v>343</v>
      </c>
      <c r="K44">
        <v>40</v>
      </c>
      <c r="L44" s="91">
        <f t="shared" si="87"/>
        <v>49.2</v>
      </c>
      <c r="M44" s="93">
        <f t="shared" si="88"/>
        <v>0.1524390243902439</v>
      </c>
      <c r="N44" s="122">
        <f t="shared" si="69"/>
        <v>1.287262872628726E-4</v>
      </c>
      <c r="O44" s="97">
        <f t="shared" si="70"/>
        <v>1.1585365853658533E-4</v>
      </c>
      <c r="P44" s="123">
        <f t="shared" si="71"/>
        <v>1.0532150776053212E-4</v>
      </c>
      <c r="Q44" s="127">
        <f t="shared" si="72"/>
        <v>0.3048780487804878</v>
      </c>
      <c r="R44" s="91">
        <f t="shared" si="73"/>
        <v>0.5</v>
      </c>
      <c r="S44" s="92">
        <f t="shared" si="89"/>
        <v>0.5792682926829269</v>
      </c>
      <c r="T44" s="92">
        <f t="shared" si="74"/>
        <v>0.78963414634146345</v>
      </c>
      <c r="U44" s="92">
        <f t="shared" si="90"/>
        <v>1.1954597053623446</v>
      </c>
      <c r="V44" s="93">
        <f t="shared" si="91"/>
        <v>0.29110944543284456</v>
      </c>
      <c r="W44" s="92">
        <f t="shared" si="76"/>
        <v>0.24800615529290584</v>
      </c>
      <c r="X44" s="117">
        <f t="shared" si="92"/>
        <v>0.7192982456140351</v>
      </c>
      <c r="Y44" s="103">
        <f t="shared" si="93"/>
        <v>0.25745257452574527</v>
      </c>
      <c r="Z44" s="103">
        <f t="shared" si="94"/>
        <v>0.60290017328633327</v>
      </c>
      <c r="AA44" s="118">
        <f t="shared" si="95"/>
        <v>0.33688071917028833</v>
      </c>
      <c r="AB44" s="117">
        <f t="shared" si="96"/>
        <v>0</v>
      </c>
      <c r="AC44" s="103">
        <f t="shared" si="97"/>
        <v>0</v>
      </c>
      <c r="AD44" s="103">
        <f t="shared" si="98"/>
        <v>0</v>
      </c>
      <c r="AE44" s="118">
        <f t="shared" si="99"/>
        <v>0</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21">
        <f t="shared" si="116"/>
        <v>6.6735978419692046E-2</v>
      </c>
      <c r="AW44" s="21">
        <f t="shared" si="77"/>
        <v>0</v>
      </c>
      <c r="AX44" s="139">
        <f t="shared" si="117"/>
        <v>0</v>
      </c>
      <c r="AY44" s="140">
        <v>40</v>
      </c>
      <c r="AZ44" s="141">
        <f t="shared" si="118"/>
        <v>0</v>
      </c>
      <c r="BA44" s="19">
        <f t="shared" si="119"/>
        <v>164.85277315872878</v>
      </c>
      <c r="BB44" s="142">
        <f t="shared" si="120"/>
        <v>6.0830673295570917E-2</v>
      </c>
      <c r="BC44" s="19">
        <f t="shared" si="78"/>
        <v>169.63060070186526</v>
      </c>
      <c r="BD44" s="79">
        <f t="shared" si="121"/>
        <v>6.2593691658988287E-2</v>
      </c>
      <c r="BE44" s="144" t="e">
        <f t="shared" si="122"/>
        <v>#NUM!</v>
      </c>
      <c r="BF44" s="148" t="e">
        <f t="shared" si="123"/>
        <v>#NUM!</v>
      </c>
      <c r="BG44" s="144" t="e">
        <f t="shared" si="124"/>
        <v>#NUM!</v>
      </c>
      <c r="BH44" s="152" t="e">
        <f t="shared" si="125"/>
        <v>#NUM!</v>
      </c>
      <c r="BI44" s="28">
        <f t="shared" si="126"/>
        <v>0</v>
      </c>
      <c r="BJ44" s="29">
        <f t="shared" si="127"/>
        <v>0</v>
      </c>
      <c r="BK44" s="28">
        <f t="shared" si="128"/>
        <v>0</v>
      </c>
      <c r="BL44" s="29">
        <f t="shared" si="129"/>
        <v>0</v>
      </c>
      <c r="BM44" s="28">
        <f t="shared" si="130"/>
        <v>0</v>
      </c>
      <c r="BN44" s="29">
        <f t="shared" si="131"/>
        <v>0</v>
      </c>
      <c r="BO44" s="28">
        <f t="shared" si="132"/>
        <v>0</v>
      </c>
      <c r="BP44" s="29">
        <f t="shared" si="133"/>
        <v>0</v>
      </c>
      <c r="BQ44" s="150">
        <f t="shared" si="134"/>
        <v>0</v>
      </c>
      <c r="BR44" s="29">
        <f t="shared" si="135"/>
        <v>0</v>
      </c>
      <c r="BS44" s="91" t="e">
        <f t="shared" si="79"/>
        <v>#NUM!</v>
      </c>
      <c r="BT44" s="206" t="e">
        <f t="shared" si="80"/>
        <v>#NUM!</v>
      </c>
      <c r="BU44" s="206" t="e">
        <f t="shared" si="81"/>
        <v>#NUM!</v>
      </c>
      <c r="BV44" s="97" t="e">
        <f t="shared" si="82"/>
        <v>#NUM!</v>
      </c>
      <c r="BW44" s="123" t="e">
        <f t="shared" si="83"/>
        <v>#NUM!</v>
      </c>
      <c r="BX44" s="91">
        <f>(M44^2)*'Fly-Buck_Calc'!$B$80</f>
        <v>1.6266359309934566E-3</v>
      </c>
      <c r="BY44" s="92">
        <f t="shared" si="136"/>
        <v>5.0000000000000001E-3</v>
      </c>
      <c r="BZ44" s="92">
        <f t="shared" si="137"/>
        <v>0</v>
      </c>
      <c r="CA44" s="92">
        <f t="shared" si="138"/>
        <v>0</v>
      </c>
      <c r="CB44" s="92">
        <f t="shared" si="139"/>
        <v>0</v>
      </c>
      <c r="CC44" s="92">
        <f t="shared" si="140"/>
        <v>0</v>
      </c>
      <c r="CD44" s="92">
        <f t="shared" si="141"/>
        <v>0</v>
      </c>
      <c r="CE44" s="127">
        <f t="shared" si="84"/>
        <v>6.6266359309934564E-3</v>
      </c>
      <c r="CF44" s="91">
        <f t="shared" si="85"/>
        <v>6.7389202855443189E-3</v>
      </c>
      <c r="CG44" s="92">
        <f t="shared" si="142"/>
        <v>0.11070000000000002</v>
      </c>
      <c r="CH44" s="206">
        <f t="shared" si="143"/>
        <v>3.7500000000000003E-3</v>
      </c>
      <c r="CI44" s="92">
        <f t="shared" si="144"/>
        <v>0.29520000000000002</v>
      </c>
      <c r="CJ44" s="93">
        <f t="shared" si="145"/>
        <v>0.09</v>
      </c>
      <c r="CK44" s="92">
        <f t="shared" si="146"/>
        <v>0.50638892028554439</v>
      </c>
      <c r="CL44" s="188">
        <f t="shared" si="147"/>
        <v>0.15</v>
      </c>
      <c r="CM44" s="206">
        <f t="shared" si="148"/>
        <v>0</v>
      </c>
      <c r="CN44" s="206">
        <f t="shared" si="149"/>
        <v>0</v>
      </c>
      <c r="CO44" s="206">
        <f t="shared" si="150"/>
        <v>0</v>
      </c>
      <c r="CP44" s="206">
        <f t="shared" si="151"/>
        <v>0</v>
      </c>
      <c r="CQ44" s="227">
        <f t="shared" si="152"/>
        <v>0</v>
      </c>
      <c r="CR44" s="231">
        <f t="shared" si="86"/>
        <v>0.15</v>
      </c>
      <c r="CS44" s="206">
        <f t="shared" si="153"/>
        <v>0.66301555621653785</v>
      </c>
      <c r="CT44" s="206">
        <f t="shared" si="154"/>
        <v>8.1630155562165374</v>
      </c>
      <c r="CU44" s="206">
        <f t="shared" si="155"/>
        <v>0.91877810943143201</v>
      </c>
      <c r="CV44">
        <f t="shared" si="156"/>
        <v>49.2</v>
      </c>
    </row>
    <row r="45" spans="1:100" x14ac:dyDescent="0.55000000000000004">
      <c r="A45" s="185" t="s">
        <v>389</v>
      </c>
      <c r="B45" s="12">
        <f>COUT2_FB</f>
        <v>1.9999999999999998E-5</v>
      </c>
      <c r="C45" s="12" t="s">
        <v>343</v>
      </c>
      <c r="K45">
        <v>41</v>
      </c>
      <c r="L45" s="91">
        <f t="shared" si="87"/>
        <v>50.28</v>
      </c>
      <c r="M45" s="93">
        <f t="shared" si="88"/>
        <v>0.14916467780429593</v>
      </c>
      <c r="N45" s="122">
        <f t="shared" si="69"/>
        <v>1.2993900822063113E-4</v>
      </c>
      <c r="O45" s="97">
        <f t="shared" si="70"/>
        <v>1.16945107398568E-4</v>
      </c>
      <c r="P45" s="123">
        <f t="shared" si="71"/>
        <v>1.0631373399869819E-4</v>
      </c>
      <c r="Q45" s="127">
        <f t="shared" si="72"/>
        <v>0.29832935560859186</v>
      </c>
      <c r="R45" s="91">
        <f t="shared" si="73"/>
        <v>0.5</v>
      </c>
      <c r="S45" s="92">
        <f t="shared" si="89"/>
        <v>0.58472553699284002</v>
      </c>
      <c r="T45" s="92">
        <f t="shared" si="74"/>
        <v>0.79236276849642007</v>
      </c>
      <c r="U45" s="92">
        <f t="shared" si="90"/>
        <v>1.1885419608975516</v>
      </c>
      <c r="V45" s="93">
        <f t="shared" si="91"/>
        <v>0.2882400696448974</v>
      </c>
      <c r="W45" s="92">
        <f t="shared" si="76"/>
        <v>0.2466419198847509</v>
      </c>
      <c r="X45" s="117">
        <f t="shared" si="92"/>
        <v>0.7125850340136054</v>
      </c>
      <c r="Y45" s="103">
        <f t="shared" si="93"/>
        <v>0.25987801644126235</v>
      </c>
      <c r="Z45" s="103">
        <f t="shared" si="94"/>
        <v>0.60020126083510283</v>
      </c>
      <c r="AA45" s="118">
        <f t="shared" si="95"/>
        <v>0.33202643495367529</v>
      </c>
      <c r="AB45" s="117">
        <f t="shared" si="96"/>
        <v>0</v>
      </c>
      <c r="AC45" s="103">
        <f t="shared" si="97"/>
        <v>0</v>
      </c>
      <c r="AD45" s="103">
        <f t="shared" si="98"/>
        <v>0</v>
      </c>
      <c r="AE45" s="118">
        <f t="shared" si="99"/>
        <v>0</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21">
        <f t="shared" si="116"/>
        <v>6.7364693201940093E-2</v>
      </c>
      <c r="AW45" s="21">
        <f t="shared" si="77"/>
        <v>0</v>
      </c>
      <c r="AX45" s="139">
        <f t="shared" si="117"/>
        <v>0</v>
      </c>
      <c r="AY45" s="140">
        <v>41</v>
      </c>
      <c r="AZ45" s="141">
        <f t="shared" si="118"/>
        <v>0</v>
      </c>
      <c r="BA45" s="19">
        <f t="shared" si="119"/>
        <v>169.0162985002564</v>
      </c>
      <c r="BB45" s="142">
        <f t="shared" si="120"/>
        <v>6.236701414659461E-2</v>
      </c>
      <c r="BC45" s="19">
        <f t="shared" si="78"/>
        <v>173.58894681712448</v>
      </c>
      <c r="BD45" s="79">
        <f t="shared" si="121"/>
        <v>6.4054321375518933E-2</v>
      </c>
      <c r="BE45" s="144" t="e">
        <f t="shared" si="122"/>
        <v>#NUM!</v>
      </c>
      <c r="BF45" s="148" t="e">
        <f t="shared" si="123"/>
        <v>#NUM!</v>
      </c>
      <c r="BG45" s="144" t="e">
        <f t="shared" si="124"/>
        <v>#NUM!</v>
      </c>
      <c r="BH45" s="152" t="e">
        <f t="shared" si="125"/>
        <v>#NUM!</v>
      </c>
      <c r="BI45" s="28">
        <f t="shared" si="126"/>
        <v>0</v>
      </c>
      <c r="BJ45" s="29">
        <f t="shared" si="127"/>
        <v>0</v>
      </c>
      <c r="BK45" s="28">
        <f t="shared" si="128"/>
        <v>0</v>
      </c>
      <c r="BL45" s="29">
        <f t="shared" si="129"/>
        <v>0</v>
      </c>
      <c r="BM45" s="28">
        <f t="shared" si="130"/>
        <v>0</v>
      </c>
      <c r="BN45" s="29">
        <f t="shared" si="131"/>
        <v>0</v>
      </c>
      <c r="BO45" s="28">
        <f t="shared" si="132"/>
        <v>0</v>
      </c>
      <c r="BP45" s="29">
        <f t="shared" si="133"/>
        <v>0</v>
      </c>
      <c r="BQ45" s="150">
        <f t="shared" si="134"/>
        <v>0</v>
      </c>
      <c r="BR45" s="29">
        <f t="shared" si="135"/>
        <v>0</v>
      </c>
      <c r="BS45" s="91" t="e">
        <f t="shared" si="79"/>
        <v>#NUM!</v>
      </c>
      <c r="BT45" s="206" t="e">
        <f t="shared" si="80"/>
        <v>#NUM!</v>
      </c>
      <c r="BU45" s="206" t="e">
        <f t="shared" si="81"/>
        <v>#NUM!</v>
      </c>
      <c r="BV45" s="97" t="e">
        <f t="shared" si="82"/>
        <v>#NUM!</v>
      </c>
      <c r="BW45" s="123" t="e">
        <f t="shared" si="83"/>
        <v>#NUM!</v>
      </c>
      <c r="BX45" s="91">
        <f>(M45^2)*'Fly-Buck_Calc'!$B$80</f>
        <v>1.5575070773121591E-3</v>
      </c>
      <c r="BY45" s="92">
        <f t="shared" si="136"/>
        <v>5.0000000000000001E-3</v>
      </c>
      <c r="BZ45" s="92">
        <f t="shared" si="137"/>
        <v>0</v>
      </c>
      <c r="CA45" s="92">
        <f t="shared" si="138"/>
        <v>0</v>
      </c>
      <c r="CB45" s="92">
        <f t="shared" si="139"/>
        <v>0</v>
      </c>
      <c r="CC45" s="92">
        <f t="shared" si="140"/>
        <v>0</v>
      </c>
      <c r="CD45" s="92">
        <f t="shared" si="141"/>
        <v>0</v>
      </c>
      <c r="CE45" s="127">
        <f t="shared" si="84"/>
        <v>6.557507077312159E-3</v>
      </c>
      <c r="CF45" s="91">
        <f t="shared" si="85"/>
        <v>6.4525293202932297E-3</v>
      </c>
      <c r="CG45" s="92">
        <f t="shared" si="142"/>
        <v>0.11313000000000001</v>
      </c>
      <c r="CH45" s="206">
        <f t="shared" si="143"/>
        <v>3.7500000000000003E-3</v>
      </c>
      <c r="CI45" s="92">
        <f t="shared" si="144"/>
        <v>0.30168</v>
      </c>
      <c r="CJ45" s="93">
        <f t="shared" si="145"/>
        <v>0.09</v>
      </c>
      <c r="CK45" s="92">
        <f t="shared" si="146"/>
        <v>0.51501252932029329</v>
      </c>
      <c r="CL45" s="188">
        <f t="shared" si="147"/>
        <v>0.15</v>
      </c>
      <c r="CM45" s="206">
        <f t="shared" si="148"/>
        <v>0</v>
      </c>
      <c r="CN45" s="206">
        <f t="shared" si="149"/>
        <v>0</v>
      </c>
      <c r="CO45" s="206">
        <f t="shared" si="150"/>
        <v>0</v>
      </c>
      <c r="CP45" s="206">
        <f t="shared" si="151"/>
        <v>0</v>
      </c>
      <c r="CQ45" s="227">
        <f t="shared" si="152"/>
        <v>0</v>
      </c>
      <c r="CR45" s="231">
        <f t="shared" si="86"/>
        <v>0.15</v>
      </c>
      <c r="CS45" s="206">
        <f t="shared" si="153"/>
        <v>0.67157003639760549</v>
      </c>
      <c r="CT45" s="206">
        <f t="shared" si="154"/>
        <v>8.1715700363976058</v>
      </c>
      <c r="CU45" s="206">
        <f t="shared" si="155"/>
        <v>0.91781627846223979</v>
      </c>
      <c r="CV45">
        <f t="shared" si="156"/>
        <v>50.28</v>
      </c>
    </row>
    <row r="46" spans="1:100" x14ac:dyDescent="0.55000000000000004">
      <c r="A46" s="12" t="s">
        <v>390</v>
      </c>
      <c r="B46" s="19">
        <f>IF(AND(Vout3&lt;&gt;0,Iout3&lt;&gt;0),(Iout3*B10)/(Vout3_Ripple*(10^-3)),0)</f>
        <v>0</v>
      </c>
      <c r="C46" s="12" t="s">
        <v>343</v>
      </c>
      <c r="K46">
        <v>42</v>
      </c>
      <c r="L46" s="91">
        <f t="shared" si="87"/>
        <v>51.36</v>
      </c>
      <c r="M46" s="93">
        <f t="shared" si="88"/>
        <v>0.14602803738317757</v>
      </c>
      <c r="N46" s="122">
        <f t="shared" si="69"/>
        <v>1.3110072689511939E-4</v>
      </c>
      <c r="O46" s="97">
        <f t="shared" si="70"/>
        <v>1.1799065420560744E-4</v>
      </c>
      <c r="P46" s="123">
        <f t="shared" si="71"/>
        <v>1.0726423109600677E-4</v>
      </c>
      <c r="Q46" s="127">
        <f t="shared" si="72"/>
        <v>0.29205607476635514</v>
      </c>
      <c r="R46" s="91">
        <f t="shared" si="73"/>
        <v>0.5</v>
      </c>
      <c r="S46" s="92">
        <f t="shared" si="89"/>
        <v>0.5899532710280373</v>
      </c>
      <c r="T46" s="92">
        <f t="shared" si="74"/>
        <v>0.79497663551401865</v>
      </c>
      <c r="U46" s="92">
        <f t="shared" si="90"/>
        <v>1.1819374630951209</v>
      </c>
      <c r="V46" s="93">
        <f t="shared" si="91"/>
        <v>0.2854553147365938</v>
      </c>
      <c r="W46" s="92">
        <f t="shared" si="76"/>
        <v>0.24527647463502308</v>
      </c>
      <c r="X46" s="117">
        <f t="shared" si="92"/>
        <v>0.70627062706270638</v>
      </c>
      <c r="Y46" s="103">
        <f t="shared" si="93"/>
        <v>0.26220145379023885</v>
      </c>
      <c r="Z46" s="103">
        <f t="shared" si="94"/>
        <v>0.59765476557235142</v>
      </c>
      <c r="AA46" s="118">
        <f t="shared" si="95"/>
        <v>0.327400700688533</v>
      </c>
      <c r="AB46" s="117">
        <f t="shared" si="96"/>
        <v>0</v>
      </c>
      <c r="AC46" s="103">
        <f t="shared" si="97"/>
        <v>0</v>
      </c>
      <c r="AD46" s="103">
        <f t="shared" si="98"/>
        <v>0</v>
      </c>
      <c r="AE46" s="118">
        <f t="shared" si="99"/>
        <v>0</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21">
        <f t="shared" si="116"/>
        <v>6.7966966708299228E-2</v>
      </c>
      <c r="AW46" s="21">
        <f t="shared" si="77"/>
        <v>0</v>
      </c>
      <c r="AX46" s="139">
        <f t="shared" si="117"/>
        <v>0</v>
      </c>
      <c r="AY46" s="140">
        <v>42</v>
      </c>
      <c r="AZ46" s="141">
        <f t="shared" si="118"/>
        <v>0</v>
      </c>
      <c r="BA46" s="19">
        <f t="shared" si="119"/>
        <v>173.06568064990898</v>
      </c>
      <c r="BB46" s="142">
        <f t="shared" si="120"/>
        <v>6.3861236159816412E-2</v>
      </c>
      <c r="BC46" s="19">
        <f t="shared" si="78"/>
        <v>177.43174603202891</v>
      </c>
      <c r="BD46" s="79">
        <f t="shared" si="121"/>
        <v>6.5472314285818664E-2</v>
      </c>
      <c r="BE46" s="144" t="e">
        <f t="shared" si="122"/>
        <v>#NUM!</v>
      </c>
      <c r="BF46" s="148" t="e">
        <f t="shared" si="123"/>
        <v>#NUM!</v>
      </c>
      <c r="BG46" s="144" t="e">
        <f t="shared" si="124"/>
        <v>#NUM!</v>
      </c>
      <c r="BH46" s="152" t="e">
        <f t="shared" si="125"/>
        <v>#NUM!</v>
      </c>
      <c r="BI46" s="28">
        <f t="shared" si="126"/>
        <v>0</v>
      </c>
      <c r="BJ46" s="29">
        <f t="shared" si="127"/>
        <v>0</v>
      </c>
      <c r="BK46" s="28">
        <f t="shared" si="128"/>
        <v>0</v>
      </c>
      <c r="BL46" s="29">
        <f t="shared" si="129"/>
        <v>0</v>
      </c>
      <c r="BM46" s="28">
        <f t="shared" si="130"/>
        <v>0</v>
      </c>
      <c r="BN46" s="29">
        <f t="shared" si="131"/>
        <v>0</v>
      </c>
      <c r="BO46" s="28">
        <f t="shared" si="132"/>
        <v>0</v>
      </c>
      <c r="BP46" s="29">
        <f t="shared" si="133"/>
        <v>0</v>
      </c>
      <c r="BQ46" s="150">
        <f t="shared" si="134"/>
        <v>0</v>
      </c>
      <c r="BR46" s="29">
        <f t="shared" si="135"/>
        <v>0</v>
      </c>
      <c r="BS46" s="91" t="e">
        <f t="shared" si="79"/>
        <v>#NUM!</v>
      </c>
      <c r="BT46" s="206" t="e">
        <f t="shared" si="80"/>
        <v>#NUM!</v>
      </c>
      <c r="BU46" s="206" t="e">
        <f t="shared" si="81"/>
        <v>#NUM!</v>
      </c>
      <c r="BV46" s="97" t="e">
        <f t="shared" si="82"/>
        <v>#NUM!</v>
      </c>
      <c r="BW46" s="123" t="e">
        <f t="shared" si="83"/>
        <v>#NUM!</v>
      </c>
      <c r="BX46" s="91">
        <f>(M46^2)*'Fly-Buck_Calc'!$B$80</f>
        <v>1.4926931391387895E-3</v>
      </c>
      <c r="BY46" s="92">
        <f t="shared" si="136"/>
        <v>5.0000000000000001E-3</v>
      </c>
      <c r="BZ46" s="92">
        <f t="shared" si="137"/>
        <v>0</v>
      </c>
      <c r="CA46" s="92">
        <f t="shared" si="138"/>
        <v>0</v>
      </c>
      <c r="CB46" s="92">
        <f t="shared" si="139"/>
        <v>0</v>
      </c>
      <c r="CC46" s="92">
        <f t="shared" si="140"/>
        <v>0</v>
      </c>
      <c r="CD46" s="92">
        <f t="shared" si="141"/>
        <v>0</v>
      </c>
      <c r="CE46" s="127">
        <f t="shared" si="84"/>
        <v>6.4926931391387898E-3</v>
      </c>
      <c r="CF46" s="91">
        <f t="shared" si="85"/>
        <v>6.1840144335749839E-3</v>
      </c>
      <c r="CG46" s="92">
        <f t="shared" si="142"/>
        <v>0.11556000000000001</v>
      </c>
      <c r="CH46" s="206">
        <f t="shared" si="143"/>
        <v>3.7500000000000003E-3</v>
      </c>
      <c r="CI46" s="92">
        <f t="shared" si="144"/>
        <v>0.30815999999999999</v>
      </c>
      <c r="CJ46" s="93">
        <f t="shared" si="145"/>
        <v>0.09</v>
      </c>
      <c r="CK46" s="92">
        <f t="shared" si="146"/>
        <v>0.52365401443357495</v>
      </c>
      <c r="CL46" s="188">
        <f t="shared" si="147"/>
        <v>0.15</v>
      </c>
      <c r="CM46" s="206">
        <f t="shared" si="148"/>
        <v>0</v>
      </c>
      <c r="CN46" s="206">
        <f t="shared" si="149"/>
        <v>0</v>
      </c>
      <c r="CO46" s="206">
        <f t="shared" si="150"/>
        <v>0</v>
      </c>
      <c r="CP46" s="206">
        <f t="shared" si="151"/>
        <v>0</v>
      </c>
      <c r="CQ46" s="227">
        <f t="shared" si="152"/>
        <v>0</v>
      </c>
      <c r="CR46" s="231">
        <f t="shared" si="86"/>
        <v>0.15</v>
      </c>
      <c r="CS46" s="206">
        <f t="shared" si="153"/>
        <v>0.68014670757271378</v>
      </c>
      <c r="CT46" s="206">
        <f t="shared" si="154"/>
        <v>8.1801467075727139</v>
      </c>
      <c r="CU46" s="206">
        <f t="shared" si="155"/>
        <v>0.91685397195345253</v>
      </c>
      <c r="CV46">
        <f t="shared" si="156"/>
        <v>51.36</v>
      </c>
    </row>
    <row r="47" spans="1:100" x14ac:dyDescent="0.55000000000000004">
      <c r="A47" s="185" t="s">
        <v>391</v>
      </c>
      <c r="B47" s="12">
        <f>COUT3_FB</f>
        <v>0</v>
      </c>
      <c r="C47" s="12" t="s">
        <v>343</v>
      </c>
      <c r="K47">
        <v>43</v>
      </c>
      <c r="L47" s="91">
        <f t="shared" si="87"/>
        <v>52.440000000000005</v>
      </c>
      <c r="M47" s="93">
        <f t="shared" si="88"/>
        <v>0.14302059496567504</v>
      </c>
      <c r="N47" s="122">
        <f t="shared" si="69"/>
        <v>1.3221459445715737E-4</v>
      </c>
      <c r="O47" s="97">
        <f t="shared" si="70"/>
        <v>1.1899313501144163E-4</v>
      </c>
      <c r="P47" s="123">
        <f t="shared" si="71"/>
        <v>1.0817557728312876E-4</v>
      </c>
      <c r="Q47" s="127">
        <f t="shared" si="72"/>
        <v>0.28604118993135008</v>
      </c>
      <c r="R47" s="91">
        <f t="shared" si="73"/>
        <v>0.5</v>
      </c>
      <c r="S47" s="92">
        <f t="shared" si="89"/>
        <v>0.59496567505720821</v>
      </c>
      <c r="T47" s="92">
        <f t="shared" si="74"/>
        <v>0.79748283752860405</v>
      </c>
      <c r="U47" s="92">
        <f t="shared" si="90"/>
        <v>1.1756233161418999</v>
      </c>
      <c r="V47" s="93">
        <f t="shared" si="91"/>
        <v>0.28275101216485632</v>
      </c>
      <c r="W47" s="92">
        <f t="shared" si="76"/>
        <v>0.24391237011663647</v>
      </c>
      <c r="X47" s="117">
        <f t="shared" si="92"/>
        <v>0.70032051282051277</v>
      </c>
      <c r="Y47" s="103">
        <f t="shared" si="93"/>
        <v>0.26442918891431483</v>
      </c>
      <c r="Z47" s="103">
        <f t="shared" si="94"/>
        <v>0.59524820265136236</v>
      </c>
      <c r="AA47" s="118">
        <f t="shared" si="95"/>
        <v>0.32298672226529274</v>
      </c>
      <c r="AB47" s="117">
        <f t="shared" si="96"/>
        <v>0</v>
      </c>
      <c r="AC47" s="103">
        <f t="shared" si="97"/>
        <v>0</v>
      </c>
      <c r="AD47" s="103">
        <f t="shared" si="98"/>
        <v>0</v>
      </c>
      <c r="AE47" s="118">
        <f t="shared" si="99"/>
        <v>0</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21">
        <f t="shared" si="116"/>
        <v>6.8544432610277442E-2</v>
      </c>
      <c r="AW47" s="21">
        <f t="shared" si="77"/>
        <v>0</v>
      </c>
      <c r="AX47" s="139">
        <f t="shared" si="117"/>
        <v>0</v>
      </c>
      <c r="AY47" s="140">
        <v>43</v>
      </c>
      <c r="AZ47" s="141">
        <f t="shared" si="118"/>
        <v>0</v>
      </c>
      <c r="BA47" s="19">
        <f t="shared" si="119"/>
        <v>177.00461356866467</v>
      </c>
      <c r="BB47" s="142">
        <f t="shared" si="120"/>
        <v>6.5314702406837261E-2</v>
      </c>
      <c r="BC47" s="19">
        <f t="shared" si="78"/>
        <v>181.16324796240693</v>
      </c>
      <c r="BD47" s="79">
        <f t="shared" si="121"/>
        <v>6.6849238498128155E-2</v>
      </c>
      <c r="BE47" s="144" t="e">
        <f t="shared" si="122"/>
        <v>#NUM!</v>
      </c>
      <c r="BF47" s="148" t="e">
        <f t="shared" si="123"/>
        <v>#NUM!</v>
      </c>
      <c r="BG47" s="144" t="e">
        <f t="shared" si="124"/>
        <v>#NUM!</v>
      </c>
      <c r="BH47" s="152" t="e">
        <f t="shared" si="125"/>
        <v>#NUM!</v>
      </c>
      <c r="BI47" s="28">
        <f t="shared" si="126"/>
        <v>0</v>
      </c>
      <c r="BJ47" s="29">
        <f t="shared" si="127"/>
        <v>0</v>
      </c>
      <c r="BK47" s="28">
        <f t="shared" si="128"/>
        <v>0</v>
      </c>
      <c r="BL47" s="29">
        <f t="shared" si="129"/>
        <v>0</v>
      </c>
      <c r="BM47" s="28">
        <f t="shared" si="130"/>
        <v>0</v>
      </c>
      <c r="BN47" s="29">
        <f t="shared" si="131"/>
        <v>0</v>
      </c>
      <c r="BO47" s="28">
        <f t="shared" si="132"/>
        <v>0</v>
      </c>
      <c r="BP47" s="29">
        <f t="shared" si="133"/>
        <v>0</v>
      </c>
      <c r="BQ47" s="150">
        <f t="shared" si="134"/>
        <v>0</v>
      </c>
      <c r="BR47" s="29">
        <f t="shared" si="135"/>
        <v>0</v>
      </c>
      <c r="BS47" s="91" t="e">
        <f t="shared" si="79"/>
        <v>#NUM!</v>
      </c>
      <c r="BT47" s="206" t="e">
        <f t="shared" si="80"/>
        <v>#NUM!</v>
      </c>
      <c r="BU47" s="206" t="e">
        <f t="shared" si="81"/>
        <v>#NUM!</v>
      </c>
      <c r="BV47" s="97" t="e">
        <f t="shared" si="82"/>
        <v>#NUM!</v>
      </c>
      <c r="BW47" s="123" t="e">
        <f t="shared" si="83"/>
        <v>#NUM!</v>
      </c>
      <c r="BX47" s="91">
        <f>(M47^2)*'Fly-Buck_Calc'!$B$80</f>
        <v>1.4318423409034973E-3</v>
      </c>
      <c r="BY47" s="92">
        <f t="shared" si="136"/>
        <v>5.0000000000000001E-3</v>
      </c>
      <c r="BZ47" s="92">
        <f t="shared" si="137"/>
        <v>0</v>
      </c>
      <c r="CA47" s="92">
        <f t="shared" si="138"/>
        <v>0</v>
      </c>
      <c r="CB47" s="92">
        <f t="shared" si="139"/>
        <v>0</v>
      </c>
      <c r="CC47" s="92">
        <f t="shared" si="140"/>
        <v>0</v>
      </c>
      <c r="CD47" s="92">
        <f t="shared" si="141"/>
        <v>0</v>
      </c>
      <c r="CE47" s="127">
        <f t="shared" si="84"/>
        <v>6.4318423409034974E-3</v>
      </c>
      <c r="CF47" s="91">
        <f t="shared" si="85"/>
        <v>5.9319182694573449E-3</v>
      </c>
      <c r="CG47" s="92">
        <f t="shared" si="142"/>
        <v>0.11799000000000003</v>
      </c>
      <c r="CH47" s="206">
        <f t="shared" si="143"/>
        <v>3.7500000000000003E-3</v>
      </c>
      <c r="CI47" s="92">
        <f t="shared" si="144"/>
        <v>0.31464000000000003</v>
      </c>
      <c r="CJ47" s="93">
        <f t="shared" si="145"/>
        <v>0.09</v>
      </c>
      <c r="CK47" s="92">
        <f t="shared" si="146"/>
        <v>0.53231191826945734</v>
      </c>
      <c r="CL47" s="188">
        <f t="shared" si="147"/>
        <v>0.15</v>
      </c>
      <c r="CM47" s="206">
        <f t="shared" si="148"/>
        <v>0</v>
      </c>
      <c r="CN47" s="206">
        <f t="shared" si="149"/>
        <v>0</v>
      </c>
      <c r="CO47" s="206">
        <f t="shared" si="150"/>
        <v>0</v>
      </c>
      <c r="CP47" s="206">
        <f t="shared" si="151"/>
        <v>0</v>
      </c>
      <c r="CQ47" s="227">
        <f t="shared" si="152"/>
        <v>0</v>
      </c>
      <c r="CR47" s="231">
        <f t="shared" si="86"/>
        <v>0.15</v>
      </c>
      <c r="CS47" s="206">
        <f t="shared" si="153"/>
        <v>0.68874376061036091</v>
      </c>
      <c r="CT47" s="206">
        <f t="shared" si="154"/>
        <v>8.188743760610361</v>
      </c>
      <c r="CU47" s="206">
        <f t="shared" si="155"/>
        <v>0.91589140156963167</v>
      </c>
      <c r="CV47">
        <f t="shared" si="156"/>
        <v>52.440000000000005</v>
      </c>
    </row>
    <row r="48" spans="1:100" x14ac:dyDescent="0.55000000000000004">
      <c r="A48" s="12" t="s">
        <v>392</v>
      </c>
      <c r="B48" s="19">
        <f>IF(AND(Vout4&lt;&gt;0,Iout4&lt;&gt;0),(Iout4*B10)/(Vout4_Ripple*(10^-3)),0)</f>
        <v>0</v>
      </c>
      <c r="C48" s="12" t="s">
        <v>343</v>
      </c>
      <c r="K48">
        <v>44</v>
      </c>
      <c r="L48" s="91">
        <f t="shared" si="87"/>
        <v>53.52</v>
      </c>
      <c r="M48" s="93">
        <f t="shared" si="88"/>
        <v>0.14013452914798205</v>
      </c>
      <c r="N48" s="122">
        <f t="shared" si="69"/>
        <v>1.3328350772296959E-4</v>
      </c>
      <c r="O48" s="97">
        <f t="shared" si="70"/>
        <v>1.1995515695067262E-4</v>
      </c>
      <c r="P48" s="123">
        <f t="shared" si="71"/>
        <v>1.0905014268242965E-4</v>
      </c>
      <c r="Q48" s="127">
        <f t="shared" si="72"/>
        <v>0.2802690582959641</v>
      </c>
      <c r="R48" s="91">
        <f t="shared" si="73"/>
        <v>0.5</v>
      </c>
      <c r="S48" s="92">
        <f t="shared" si="89"/>
        <v>0.59977578475336324</v>
      </c>
      <c r="T48" s="92">
        <f t="shared" si="74"/>
        <v>0.79988789237668168</v>
      </c>
      <c r="U48" s="92">
        <f t="shared" si="90"/>
        <v>1.169578901340852</v>
      </c>
      <c r="V48" s="93">
        <f t="shared" si="91"/>
        <v>0.28012328256933328</v>
      </c>
      <c r="W48" s="92">
        <f t="shared" si="76"/>
        <v>0.24255178246694439</v>
      </c>
      <c r="X48" s="117">
        <f t="shared" si="92"/>
        <v>0.69470404984423684</v>
      </c>
      <c r="Y48" s="103">
        <f t="shared" si="93"/>
        <v>0.26656701544593925</v>
      </c>
      <c r="Z48" s="103">
        <f t="shared" si="94"/>
        <v>0.59297041251434579</v>
      </c>
      <c r="AA48" s="118">
        <f t="shared" si="95"/>
        <v>0.3187693682232241</v>
      </c>
      <c r="AB48" s="117">
        <f t="shared" si="96"/>
        <v>0</v>
      </c>
      <c r="AC48" s="103">
        <f t="shared" si="97"/>
        <v>0</v>
      </c>
      <c r="AD48" s="103">
        <f t="shared" si="98"/>
        <v>0</v>
      </c>
      <c r="AE48" s="118">
        <f t="shared" si="99"/>
        <v>0</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21">
        <f t="shared" si="116"/>
        <v>6.9098592713521104E-2</v>
      </c>
      <c r="AW48" s="21">
        <f t="shared" si="77"/>
        <v>0</v>
      </c>
      <c r="AX48" s="139">
        <f t="shared" si="117"/>
        <v>0</v>
      </c>
      <c r="AY48" s="140">
        <v>44</v>
      </c>
      <c r="AZ48" s="141">
        <f t="shared" si="118"/>
        <v>0</v>
      </c>
      <c r="BA48" s="19">
        <f t="shared" si="119"/>
        <v>180.83673219664246</v>
      </c>
      <c r="BB48" s="142">
        <f t="shared" si="120"/>
        <v>6.6728754180561067E-2</v>
      </c>
      <c r="BC48" s="19">
        <f t="shared" si="78"/>
        <v>184.78757203933026</v>
      </c>
      <c r="BD48" s="79">
        <f t="shared" si="121"/>
        <v>6.8186614082512864E-2</v>
      </c>
      <c r="BE48" s="144" t="e">
        <f t="shared" si="122"/>
        <v>#NUM!</v>
      </c>
      <c r="BF48" s="148" t="e">
        <f t="shared" si="123"/>
        <v>#NUM!</v>
      </c>
      <c r="BG48" s="144" t="e">
        <f t="shared" si="124"/>
        <v>#NUM!</v>
      </c>
      <c r="BH48" s="152" t="e">
        <f t="shared" si="125"/>
        <v>#NUM!</v>
      </c>
      <c r="BI48" s="28">
        <f t="shared" si="126"/>
        <v>0</v>
      </c>
      <c r="BJ48" s="29">
        <f t="shared" si="127"/>
        <v>0</v>
      </c>
      <c r="BK48" s="28">
        <f t="shared" si="128"/>
        <v>0</v>
      </c>
      <c r="BL48" s="29">
        <f t="shared" si="129"/>
        <v>0</v>
      </c>
      <c r="BM48" s="28">
        <f t="shared" si="130"/>
        <v>0</v>
      </c>
      <c r="BN48" s="29">
        <f t="shared" si="131"/>
        <v>0</v>
      </c>
      <c r="BO48" s="28">
        <f t="shared" si="132"/>
        <v>0</v>
      </c>
      <c r="BP48" s="29">
        <f t="shared" si="133"/>
        <v>0</v>
      </c>
      <c r="BQ48" s="150">
        <f t="shared" si="134"/>
        <v>0</v>
      </c>
      <c r="BR48" s="29">
        <f t="shared" si="135"/>
        <v>0</v>
      </c>
      <c r="BS48" s="91" t="e">
        <f t="shared" si="79"/>
        <v>#NUM!</v>
      </c>
      <c r="BT48" s="206" t="e">
        <f t="shared" si="80"/>
        <v>#NUM!</v>
      </c>
      <c r="BU48" s="206" t="e">
        <f t="shared" si="81"/>
        <v>#NUM!</v>
      </c>
      <c r="BV48" s="97" t="e">
        <f t="shared" si="82"/>
        <v>#NUM!</v>
      </c>
      <c r="BW48" s="123" t="e">
        <f t="shared" si="83"/>
        <v>#NUM!</v>
      </c>
      <c r="BX48" s="91">
        <f>(M48^2)*'Fly-Buck_Calc'!$B$80</f>
        <v>1.3746380381668643E-3</v>
      </c>
      <c r="BY48" s="92">
        <f t="shared" si="136"/>
        <v>5.0000000000000001E-3</v>
      </c>
      <c r="BZ48" s="92">
        <f t="shared" si="137"/>
        <v>0</v>
      </c>
      <c r="CA48" s="92">
        <f t="shared" si="138"/>
        <v>0</v>
      </c>
      <c r="CB48" s="92">
        <f t="shared" si="139"/>
        <v>0</v>
      </c>
      <c r="CC48" s="92">
        <f t="shared" si="140"/>
        <v>0</v>
      </c>
      <c r="CD48" s="92">
        <f t="shared" si="141"/>
        <v>0</v>
      </c>
      <c r="CE48" s="127">
        <f t="shared" si="84"/>
        <v>6.3746380381668639E-3</v>
      </c>
      <c r="CF48" s="91">
        <f t="shared" si="85"/>
        <v>5.6949290152627221E-3</v>
      </c>
      <c r="CG48" s="92">
        <f t="shared" si="142"/>
        <v>0.12042000000000003</v>
      </c>
      <c r="CH48" s="206">
        <f t="shared" si="143"/>
        <v>3.7500000000000003E-3</v>
      </c>
      <c r="CI48" s="92">
        <f t="shared" si="144"/>
        <v>0.32112000000000002</v>
      </c>
      <c r="CJ48" s="93">
        <f t="shared" si="145"/>
        <v>0.09</v>
      </c>
      <c r="CK48" s="92">
        <f t="shared" si="146"/>
        <v>0.54098492901526274</v>
      </c>
      <c r="CL48" s="188">
        <f t="shared" si="147"/>
        <v>0.15</v>
      </c>
      <c r="CM48" s="206">
        <f t="shared" si="148"/>
        <v>0</v>
      </c>
      <c r="CN48" s="206">
        <f t="shared" si="149"/>
        <v>0</v>
      </c>
      <c r="CO48" s="206">
        <f t="shared" si="150"/>
        <v>0</v>
      </c>
      <c r="CP48" s="206">
        <f t="shared" si="151"/>
        <v>0</v>
      </c>
      <c r="CQ48" s="227">
        <f t="shared" si="152"/>
        <v>0</v>
      </c>
      <c r="CR48" s="231">
        <f t="shared" si="86"/>
        <v>0.15</v>
      </c>
      <c r="CS48" s="206">
        <f t="shared" si="153"/>
        <v>0.69735956705342961</v>
      </c>
      <c r="CT48" s="206">
        <f t="shared" si="154"/>
        <v>8.1973595670534287</v>
      </c>
      <c r="CU48" s="206">
        <f t="shared" si="155"/>
        <v>0.91492875707731125</v>
      </c>
      <c r="CV48">
        <f t="shared" si="156"/>
        <v>53.52</v>
      </c>
    </row>
    <row r="49" spans="1:100" x14ac:dyDescent="0.55000000000000004">
      <c r="A49" s="185" t="s">
        <v>393</v>
      </c>
      <c r="B49" s="12">
        <f>COUT4_FB</f>
        <v>0</v>
      </c>
      <c r="C49" s="12" t="s">
        <v>343</v>
      </c>
      <c r="K49">
        <v>45</v>
      </c>
      <c r="L49" s="91">
        <f t="shared" si="87"/>
        <v>54.6</v>
      </c>
      <c r="M49" s="93">
        <f t="shared" si="88"/>
        <v>0.13736263736263735</v>
      </c>
      <c r="N49" s="122">
        <f t="shared" si="69"/>
        <v>1.3431013431013431E-4</v>
      </c>
      <c r="O49" s="97">
        <f t="shared" si="70"/>
        <v>1.2087912087912087E-4</v>
      </c>
      <c r="P49" s="123">
        <f t="shared" si="71"/>
        <v>1.0989010989010989E-4</v>
      </c>
      <c r="Q49" s="127">
        <f t="shared" si="72"/>
        <v>0.27472527472527469</v>
      </c>
      <c r="R49" s="91">
        <f t="shared" si="73"/>
        <v>0.5</v>
      </c>
      <c r="S49" s="92">
        <f t="shared" si="89"/>
        <v>0.60439560439560436</v>
      </c>
      <c r="T49" s="92">
        <f t="shared" si="74"/>
        <v>0.80219780219780223</v>
      </c>
      <c r="U49" s="92">
        <f t="shared" si="90"/>
        <v>1.163785593974715</v>
      </c>
      <c r="V49" s="93">
        <f t="shared" si="91"/>
        <v>0.27756850978437336</v>
      </c>
      <c r="W49" s="92">
        <f t="shared" si="76"/>
        <v>0.24119656606323889</v>
      </c>
      <c r="X49" s="117">
        <f t="shared" si="92"/>
        <v>0.68939393939393934</v>
      </c>
      <c r="Y49" s="103">
        <f t="shared" si="93"/>
        <v>0.26862026862026867</v>
      </c>
      <c r="Z49" s="103">
        <f t="shared" si="94"/>
        <v>0.59081138946022771</v>
      </c>
      <c r="AA49" s="118">
        <f t="shared" si="95"/>
        <v>0.31473496455895211</v>
      </c>
      <c r="AB49" s="117">
        <f t="shared" si="96"/>
        <v>0</v>
      </c>
      <c r="AC49" s="103">
        <f t="shared" si="97"/>
        <v>0</v>
      </c>
      <c r="AD49" s="103">
        <f t="shared" si="98"/>
        <v>0</v>
      </c>
      <c r="AE49" s="118">
        <f t="shared" si="99"/>
        <v>0</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21">
        <f t="shared" si="116"/>
        <v>6.963082999949359E-2</v>
      </c>
      <c r="AW49" s="21">
        <f t="shared" si="77"/>
        <v>0</v>
      </c>
      <c r="AX49" s="139">
        <f t="shared" si="117"/>
        <v>0</v>
      </c>
      <c r="AY49" s="140">
        <v>45</v>
      </c>
      <c r="AZ49" s="141">
        <f t="shared" si="118"/>
        <v>0</v>
      </c>
      <c r="BA49" s="19">
        <f t="shared" si="119"/>
        <v>184.5655977093746</v>
      </c>
      <c r="BB49" s="142">
        <f t="shared" si="120"/>
        <v>6.8104705554759226E-2</v>
      </c>
      <c r="BC49" s="19">
        <f t="shared" si="78"/>
        <v>188.30870132498515</v>
      </c>
      <c r="BD49" s="79">
        <f t="shared" si="121"/>
        <v>6.9485910788919525E-2</v>
      </c>
      <c r="BE49" s="144" t="e">
        <f t="shared" si="122"/>
        <v>#NUM!</v>
      </c>
      <c r="BF49" s="148" t="e">
        <f t="shared" si="123"/>
        <v>#NUM!</v>
      </c>
      <c r="BG49" s="144" t="e">
        <f t="shared" si="124"/>
        <v>#NUM!</v>
      </c>
      <c r="BH49" s="152" t="e">
        <f t="shared" si="125"/>
        <v>#NUM!</v>
      </c>
      <c r="BI49" s="28">
        <f t="shared" si="126"/>
        <v>0</v>
      </c>
      <c r="BJ49" s="29">
        <f t="shared" si="127"/>
        <v>0</v>
      </c>
      <c r="BK49" s="28">
        <f t="shared" si="128"/>
        <v>0</v>
      </c>
      <c r="BL49" s="29">
        <f t="shared" si="129"/>
        <v>0</v>
      </c>
      <c r="BM49" s="28">
        <f t="shared" si="130"/>
        <v>0</v>
      </c>
      <c r="BN49" s="29">
        <f t="shared" si="131"/>
        <v>0</v>
      </c>
      <c r="BO49" s="28">
        <f t="shared" si="132"/>
        <v>0</v>
      </c>
      <c r="BP49" s="29">
        <f t="shared" si="133"/>
        <v>0</v>
      </c>
      <c r="BQ49" s="150">
        <f t="shared" si="134"/>
        <v>0</v>
      </c>
      <c r="BR49" s="29">
        <f t="shared" si="135"/>
        <v>0</v>
      </c>
      <c r="BS49" s="91" t="e">
        <f t="shared" si="79"/>
        <v>#NUM!</v>
      </c>
      <c r="BT49" s="206" t="e">
        <f t="shared" si="80"/>
        <v>#NUM!</v>
      </c>
      <c r="BU49" s="206" t="e">
        <f t="shared" si="81"/>
        <v>#NUM!</v>
      </c>
      <c r="BV49" s="97" t="e">
        <f t="shared" si="82"/>
        <v>#NUM!</v>
      </c>
      <c r="BW49" s="123" t="e">
        <f t="shared" si="83"/>
        <v>#NUM!</v>
      </c>
      <c r="BX49" s="91">
        <f>(M49^2)*'Fly-Buck_Calc'!$B$80</f>
        <v>1.3207945900253592E-3</v>
      </c>
      <c r="BY49" s="92">
        <f t="shared" si="136"/>
        <v>5.0000000000000001E-3</v>
      </c>
      <c r="BZ49" s="92">
        <f t="shared" si="137"/>
        <v>0</v>
      </c>
      <c r="CA49" s="92">
        <f t="shared" si="138"/>
        <v>0</v>
      </c>
      <c r="CB49" s="92">
        <f t="shared" si="139"/>
        <v>0</v>
      </c>
      <c r="CC49" s="92">
        <f t="shared" si="140"/>
        <v>0</v>
      </c>
      <c r="CD49" s="92">
        <f t="shared" si="141"/>
        <v>0</v>
      </c>
      <c r="CE49" s="127">
        <f t="shared" si="84"/>
        <v>6.3207945900253595E-3</v>
      </c>
      <c r="CF49" s="91">
        <f t="shared" si="85"/>
        <v>5.4718633015336301E-3</v>
      </c>
      <c r="CG49" s="92">
        <f t="shared" si="142"/>
        <v>0.12285000000000001</v>
      </c>
      <c r="CH49" s="206">
        <f t="shared" si="143"/>
        <v>3.7500000000000003E-3</v>
      </c>
      <c r="CI49" s="92">
        <f t="shared" si="144"/>
        <v>0.3276</v>
      </c>
      <c r="CJ49" s="93">
        <f t="shared" si="145"/>
        <v>0.09</v>
      </c>
      <c r="CK49" s="92">
        <f t="shared" si="146"/>
        <v>0.54967186330153361</v>
      </c>
      <c r="CL49" s="188">
        <f t="shared" si="147"/>
        <v>0.15</v>
      </c>
      <c r="CM49" s="206">
        <f t="shared" si="148"/>
        <v>0</v>
      </c>
      <c r="CN49" s="206">
        <f t="shared" si="149"/>
        <v>0</v>
      </c>
      <c r="CO49" s="206">
        <f t="shared" si="150"/>
        <v>0</v>
      </c>
      <c r="CP49" s="206">
        <f t="shared" si="151"/>
        <v>0</v>
      </c>
      <c r="CQ49" s="227">
        <f t="shared" si="152"/>
        <v>0</v>
      </c>
      <c r="CR49" s="231">
        <f t="shared" si="86"/>
        <v>0.15</v>
      </c>
      <c r="CS49" s="206">
        <f t="shared" si="153"/>
        <v>0.70599265789155896</v>
      </c>
      <c r="CT49" s="206">
        <f t="shared" si="154"/>
        <v>8.2059926578915583</v>
      </c>
      <c r="CU49" s="206">
        <f t="shared" si="155"/>
        <v>0.91396620892505698</v>
      </c>
      <c r="CV49">
        <f t="shared" si="156"/>
        <v>54.6</v>
      </c>
    </row>
    <row r="50" spans="1:100" x14ac:dyDescent="0.55000000000000004">
      <c r="A50" s="12" t="s">
        <v>394</v>
      </c>
      <c r="B50" s="19">
        <f>IF(AND(Vout5&lt;&gt;0,Iout5&lt;&gt;0),(Iout5*B10)/(Vout5_Ripple*(10^-3)),0)</f>
        <v>0</v>
      </c>
      <c r="C50" s="12" t="s">
        <v>343</v>
      </c>
      <c r="K50">
        <v>46</v>
      </c>
      <c r="L50" s="91">
        <f t="shared" si="87"/>
        <v>55.680000000000007</v>
      </c>
      <c r="M50" s="93">
        <f t="shared" si="88"/>
        <v>0.13469827586206895</v>
      </c>
      <c r="N50" s="122">
        <f t="shared" si="69"/>
        <v>1.3529693486590038E-4</v>
      </c>
      <c r="O50" s="97">
        <f t="shared" si="70"/>
        <v>1.2176724137931033E-4</v>
      </c>
      <c r="P50" s="123">
        <f t="shared" si="71"/>
        <v>1.1069749216300939E-4</v>
      </c>
      <c r="Q50" s="127">
        <f t="shared" si="72"/>
        <v>0.2693965517241379</v>
      </c>
      <c r="R50" s="91">
        <f t="shared" si="73"/>
        <v>0.5</v>
      </c>
      <c r="S50" s="92">
        <f t="shared" si="89"/>
        <v>0.60883620689655182</v>
      </c>
      <c r="T50" s="92">
        <f t="shared" si="74"/>
        <v>0.80441810344827591</v>
      </c>
      <c r="U50" s="92">
        <f t="shared" si="90"/>
        <v>1.1582265220260941</v>
      </c>
      <c r="V50" s="93">
        <f t="shared" si="91"/>
        <v>0.27508331772509764</v>
      </c>
      <c r="W50" s="92">
        <f t="shared" si="76"/>
        <v>0.23984829824377113</v>
      </c>
      <c r="X50" s="117">
        <f t="shared" si="92"/>
        <v>0.68436578171091444</v>
      </c>
      <c r="Y50" s="103">
        <f t="shared" si="93"/>
        <v>0.27059386973180083</v>
      </c>
      <c r="Z50" s="103">
        <f t="shared" si="94"/>
        <v>0.58876213620066431</v>
      </c>
      <c r="AA50" s="118">
        <f t="shared" si="95"/>
        <v>0.31087111963572561</v>
      </c>
      <c r="AB50" s="117">
        <f t="shared" si="96"/>
        <v>0</v>
      </c>
      <c r="AC50" s="103">
        <f t="shared" si="97"/>
        <v>0</v>
      </c>
      <c r="AD50" s="103">
        <f t="shared" si="98"/>
        <v>0</v>
      </c>
      <c r="AE50" s="118">
        <f t="shared" si="99"/>
        <v>0</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21">
        <f t="shared" si="116"/>
        <v>7.0142420149372331E-2</v>
      </c>
      <c r="AW50" s="21">
        <f t="shared" si="77"/>
        <v>0</v>
      </c>
      <c r="AX50" s="139">
        <f t="shared" si="117"/>
        <v>0</v>
      </c>
      <c r="AY50" s="140">
        <v>46</v>
      </c>
      <c r="AZ50" s="141">
        <f t="shared" si="118"/>
        <v>0</v>
      </c>
      <c r="BA50" s="19">
        <f t="shared" si="119"/>
        <v>188.1946865366607</v>
      </c>
      <c r="BB50" s="142">
        <f t="shared" si="120"/>
        <v>6.9443839332027787E-2</v>
      </c>
      <c r="BC50" s="19">
        <f t="shared" si="78"/>
        <v>191.73047903709403</v>
      </c>
      <c r="BD50" s="79">
        <f t="shared" si="121"/>
        <v>7.0748546764687684E-2</v>
      </c>
      <c r="BE50" s="144" t="e">
        <f t="shared" si="122"/>
        <v>#NUM!</v>
      </c>
      <c r="BF50" s="148" t="e">
        <f t="shared" si="123"/>
        <v>#NUM!</v>
      </c>
      <c r="BG50" s="144" t="e">
        <f t="shared" si="124"/>
        <v>#NUM!</v>
      </c>
      <c r="BH50" s="152" t="e">
        <f t="shared" si="125"/>
        <v>#NUM!</v>
      </c>
      <c r="BI50" s="28">
        <f t="shared" si="126"/>
        <v>0</v>
      </c>
      <c r="BJ50" s="29">
        <f t="shared" si="127"/>
        <v>0</v>
      </c>
      <c r="BK50" s="28">
        <f t="shared" si="128"/>
        <v>0</v>
      </c>
      <c r="BL50" s="29">
        <f t="shared" si="129"/>
        <v>0</v>
      </c>
      <c r="BM50" s="28">
        <f t="shared" si="130"/>
        <v>0</v>
      </c>
      <c r="BN50" s="29">
        <f t="shared" si="131"/>
        <v>0</v>
      </c>
      <c r="BO50" s="28">
        <f t="shared" si="132"/>
        <v>0</v>
      </c>
      <c r="BP50" s="29">
        <f t="shared" si="133"/>
        <v>0</v>
      </c>
      <c r="BQ50" s="150">
        <f t="shared" si="134"/>
        <v>0</v>
      </c>
      <c r="BR50" s="29">
        <f t="shared" si="135"/>
        <v>0</v>
      </c>
      <c r="BS50" s="91" t="e">
        <f t="shared" si="79"/>
        <v>#NUM!</v>
      </c>
      <c r="BT50" s="206" t="e">
        <f t="shared" si="80"/>
        <v>#NUM!</v>
      </c>
      <c r="BU50" s="206" t="e">
        <f t="shared" si="81"/>
        <v>#NUM!</v>
      </c>
      <c r="BV50" s="97" t="e">
        <f t="shared" si="82"/>
        <v>#NUM!</v>
      </c>
      <c r="BW50" s="123" t="e">
        <f t="shared" si="83"/>
        <v>#NUM!</v>
      </c>
      <c r="BX50" s="91">
        <f>(M50^2)*'Fly-Buck_Calc'!$B$80</f>
        <v>1.2700537864149821E-3</v>
      </c>
      <c r="BY50" s="92">
        <f t="shared" si="136"/>
        <v>5.0000000000000001E-3</v>
      </c>
      <c r="BZ50" s="92">
        <f t="shared" si="137"/>
        <v>0</v>
      </c>
      <c r="CA50" s="92">
        <f t="shared" si="138"/>
        <v>0</v>
      </c>
      <c r="CB50" s="92">
        <f t="shared" si="139"/>
        <v>0</v>
      </c>
      <c r="CC50" s="92">
        <f t="shared" si="140"/>
        <v>0</v>
      </c>
      <c r="CD50" s="92">
        <f t="shared" si="141"/>
        <v>0</v>
      </c>
      <c r="CE50" s="127">
        <f t="shared" si="84"/>
        <v>6.270053786414982E-3</v>
      </c>
      <c r="CF50" s="91">
        <f t="shared" si="85"/>
        <v>5.2616514008620675E-3</v>
      </c>
      <c r="CG50" s="92">
        <f t="shared" si="142"/>
        <v>0.12528000000000003</v>
      </c>
      <c r="CH50" s="206">
        <f t="shared" si="143"/>
        <v>3.7500000000000003E-3</v>
      </c>
      <c r="CI50" s="92">
        <f t="shared" si="144"/>
        <v>0.33408000000000004</v>
      </c>
      <c r="CJ50" s="93">
        <f t="shared" si="145"/>
        <v>0.09</v>
      </c>
      <c r="CK50" s="92">
        <f t="shared" si="146"/>
        <v>0.55837165140086209</v>
      </c>
      <c r="CL50" s="188">
        <f t="shared" si="147"/>
        <v>0.15</v>
      </c>
      <c r="CM50" s="206">
        <f t="shared" si="148"/>
        <v>0</v>
      </c>
      <c r="CN50" s="206">
        <f t="shared" si="149"/>
        <v>0</v>
      </c>
      <c r="CO50" s="206">
        <f t="shared" si="150"/>
        <v>0</v>
      </c>
      <c r="CP50" s="206">
        <f t="shared" si="151"/>
        <v>0</v>
      </c>
      <c r="CQ50" s="227">
        <f t="shared" si="152"/>
        <v>0</v>
      </c>
      <c r="CR50" s="231">
        <f t="shared" si="86"/>
        <v>0.15</v>
      </c>
      <c r="CS50" s="206">
        <f t="shared" si="153"/>
        <v>0.7146417051872771</v>
      </c>
      <c r="CT50" s="206">
        <f t="shared" si="154"/>
        <v>8.2146417051872778</v>
      </c>
      <c r="CU50" s="206">
        <f t="shared" si="155"/>
        <v>0.91300391047658169</v>
      </c>
      <c r="CV50">
        <f t="shared" si="156"/>
        <v>55.680000000000007</v>
      </c>
    </row>
    <row r="51" spans="1:100" x14ac:dyDescent="0.55000000000000004">
      <c r="A51" s="185" t="s">
        <v>395</v>
      </c>
      <c r="B51" s="12">
        <f>COUT5_FB</f>
        <v>0</v>
      </c>
      <c r="C51" s="12" t="s">
        <v>343</v>
      </c>
      <c r="K51">
        <v>47</v>
      </c>
      <c r="L51" s="91">
        <f t="shared" si="87"/>
        <v>56.760000000000005</v>
      </c>
      <c r="M51" s="93">
        <f t="shared" si="88"/>
        <v>0.1321353065539112</v>
      </c>
      <c r="N51" s="122">
        <f t="shared" si="69"/>
        <v>1.3624618275781067E-4</v>
      </c>
      <c r="O51" s="97">
        <f t="shared" si="70"/>
        <v>1.2262156448202956E-4</v>
      </c>
      <c r="P51" s="123">
        <f t="shared" si="71"/>
        <v>1.114741495291178E-4</v>
      </c>
      <c r="Q51" s="127">
        <f t="shared" si="72"/>
        <v>0.26427061310782241</v>
      </c>
      <c r="R51" s="91">
        <f t="shared" si="73"/>
        <v>0.5</v>
      </c>
      <c r="S51" s="92">
        <f t="shared" si="89"/>
        <v>0.61310782241014805</v>
      </c>
      <c r="T51" s="92">
        <f t="shared" si="74"/>
        <v>0.80655391120507403</v>
      </c>
      <c r="U51" s="92">
        <f t="shared" si="90"/>
        <v>1.1528863596363212</v>
      </c>
      <c r="V51" s="93">
        <f t="shared" si="91"/>
        <v>0.27266454977036086</v>
      </c>
      <c r="W51" s="92">
        <f t="shared" si="76"/>
        <v>0.23850831738825692</v>
      </c>
      <c r="X51" s="117">
        <f t="shared" si="92"/>
        <v>0.6795977011494253</v>
      </c>
      <c r="Y51" s="103">
        <f t="shared" si="93"/>
        <v>0.27249236551562139</v>
      </c>
      <c r="Z51" s="103">
        <f t="shared" si="94"/>
        <v>0.58681453991064025</v>
      </c>
      <c r="AA51" s="118">
        <f t="shared" si="95"/>
        <v>0.30716657411010134</v>
      </c>
      <c r="AB51" s="117">
        <f t="shared" si="96"/>
        <v>0</v>
      </c>
      <c r="AC51" s="103">
        <f t="shared" si="97"/>
        <v>0</v>
      </c>
      <c r="AD51" s="103">
        <f t="shared" si="98"/>
        <v>0</v>
      </c>
      <c r="AE51" s="118">
        <f t="shared" si="99"/>
        <v>0</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21">
        <f t="shared" si="116"/>
        <v>7.06345417523212E-2</v>
      </c>
      <c r="AW51" s="21">
        <f t="shared" si="77"/>
        <v>0</v>
      </c>
      <c r="AX51" s="139">
        <f t="shared" si="117"/>
        <v>0</v>
      </c>
      <c r="AY51" s="140">
        <v>47</v>
      </c>
      <c r="AZ51" s="141">
        <f t="shared" si="118"/>
        <v>0</v>
      </c>
      <c r="BA51" s="19">
        <f t="shared" si="119"/>
        <v>191.72738241563184</v>
      </c>
      <c r="BB51" s="142">
        <f t="shared" si="120"/>
        <v>7.0747404111368137E-2</v>
      </c>
      <c r="BC51" s="19">
        <f t="shared" si="78"/>
        <v>195.05660718657322</v>
      </c>
      <c r="BD51" s="79">
        <f t="shared" si="121"/>
        <v>7.1975888051845516E-2</v>
      </c>
      <c r="BE51" s="144" t="e">
        <f t="shared" si="122"/>
        <v>#NUM!</v>
      </c>
      <c r="BF51" s="148" t="e">
        <f t="shared" si="123"/>
        <v>#NUM!</v>
      </c>
      <c r="BG51" s="144" t="e">
        <f t="shared" si="124"/>
        <v>#NUM!</v>
      </c>
      <c r="BH51" s="152" t="e">
        <f t="shared" si="125"/>
        <v>#NUM!</v>
      </c>
      <c r="BI51" s="28">
        <f t="shared" si="126"/>
        <v>0</v>
      </c>
      <c r="BJ51" s="29">
        <f t="shared" si="127"/>
        <v>0</v>
      </c>
      <c r="BK51" s="28">
        <f t="shared" si="128"/>
        <v>0</v>
      </c>
      <c r="BL51" s="29">
        <f t="shared" si="129"/>
        <v>0</v>
      </c>
      <c r="BM51" s="28">
        <f t="shared" si="130"/>
        <v>0</v>
      </c>
      <c r="BN51" s="29">
        <f t="shared" si="131"/>
        <v>0</v>
      </c>
      <c r="BO51" s="28">
        <f t="shared" si="132"/>
        <v>0</v>
      </c>
      <c r="BP51" s="29">
        <f t="shared" si="133"/>
        <v>0</v>
      </c>
      <c r="BQ51" s="150">
        <f t="shared" si="134"/>
        <v>0</v>
      </c>
      <c r="BR51" s="29">
        <f t="shared" si="135"/>
        <v>0</v>
      </c>
      <c r="BS51" s="91" t="e">
        <f t="shared" si="79"/>
        <v>#NUM!</v>
      </c>
      <c r="BT51" s="206" t="e">
        <f t="shared" si="80"/>
        <v>#NUM!</v>
      </c>
      <c r="BU51" s="206" t="e">
        <f t="shared" si="81"/>
        <v>#NUM!</v>
      </c>
      <c r="BV51" s="97" t="e">
        <f t="shared" si="82"/>
        <v>#NUM!</v>
      </c>
      <c r="BW51" s="123" t="e">
        <f t="shared" si="83"/>
        <v>#NUM!</v>
      </c>
      <c r="BX51" s="91">
        <f>(M51^2)*'Fly-Buck_Calc'!$B$80</f>
        <v>1.2221817466667264E-3</v>
      </c>
      <c r="BY51" s="92">
        <f t="shared" si="136"/>
        <v>5.0000000000000001E-3</v>
      </c>
      <c r="BZ51" s="92">
        <f t="shared" si="137"/>
        <v>0</v>
      </c>
      <c r="CA51" s="92">
        <f t="shared" si="138"/>
        <v>0</v>
      </c>
      <c r="CB51" s="92">
        <f t="shared" si="139"/>
        <v>0</v>
      </c>
      <c r="CC51" s="92">
        <f t="shared" si="140"/>
        <v>0</v>
      </c>
      <c r="CD51" s="92">
        <f t="shared" si="141"/>
        <v>0</v>
      </c>
      <c r="CE51" s="127">
        <f t="shared" si="84"/>
        <v>6.222181746666727E-3</v>
      </c>
      <c r="CF51" s="91">
        <f t="shared" si="85"/>
        <v>5.0633243790478661E-3</v>
      </c>
      <c r="CG51" s="92">
        <f t="shared" si="142"/>
        <v>0.12771000000000002</v>
      </c>
      <c r="CH51" s="206">
        <f t="shared" si="143"/>
        <v>3.7500000000000003E-3</v>
      </c>
      <c r="CI51" s="92">
        <f t="shared" si="144"/>
        <v>0.34056000000000003</v>
      </c>
      <c r="CJ51" s="93">
        <f t="shared" si="145"/>
        <v>0.09</v>
      </c>
      <c r="CK51" s="92">
        <f t="shared" si="146"/>
        <v>0.56708332437904785</v>
      </c>
      <c r="CL51" s="188">
        <f t="shared" si="147"/>
        <v>0.15</v>
      </c>
      <c r="CM51" s="206">
        <f t="shared" si="148"/>
        <v>0</v>
      </c>
      <c r="CN51" s="206">
        <f t="shared" si="149"/>
        <v>0</v>
      </c>
      <c r="CO51" s="206">
        <f t="shared" si="150"/>
        <v>0</v>
      </c>
      <c r="CP51" s="206">
        <f t="shared" si="151"/>
        <v>0</v>
      </c>
      <c r="CQ51" s="227">
        <f t="shared" si="152"/>
        <v>0</v>
      </c>
      <c r="CR51" s="231">
        <f t="shared" si="86"/>
        <v>0.15</v>
      </c>
      <c r="CS51" s="206">
        <f t="shared" si="153"/>
        <v>0.72330550612571465</v>
      </c>
      <c r="CT51" s="206">
        <f t="shared" si="154"/>
        <v>8.2233055061257154</v>
      </c>
      <c r="CU51" s="206">
        <f t="shared" si="155"/>
        <v>0.91204199994917978</v>
      </c>
      <c r="CV51">
        <f t="shared" si="156"/>
        <v>56.760000000000005</v>
      </c>
    </row>
    <row r="52" spans="1:100" x14ac:dyDescent="0.55000000000000004">
      <c r="A52" s="12" t="s">
        <v>396</v>
      </c>
      <c r="B52" s="19">
        <f>IF(AND(Vout6&lt;&gt;0,Iout1&lt;&gt;0),(Iout6*B10)/(Vout6_Ripple*(10^-3)),0)</f>
        <v>0</v>
      </c>
      <c r="C52" s="12" t="s">
        <v>343</v>
      </c>
      <c r="K52">
        <v>48</v>
      </c>
      <c r="L52" s="91">
        <f t="shared" si="87"/>
        <v>57.84</v>
      </c>
      <c r="M52" s="93">
        <f t="shared" si="88"/>
        <v>0.1296680497925311</v>
      </c>
      <c r="N52" s="122">
        <f t="shared" si="69"/>
        <v>1.371599815583218E-4</v>
      </c>
      <c r="O52" s="97">
        <f t="shared" si="70"/>
        <v>1.2344398340248961E-4</v>
      </c>
      <c r="P52" s="123">
        <f t="shared" si="71"/>
        <v>1.1222180309317238E-4</v>
      </c>
      <c r="Q52" s="127">
        <f t="shared" si="72"/>
        <v>0.25933609958506221</v>
      </c>
      <c r="R52" s="91">
        <f t="shared" si="73"/>
        <v>0.5</v>
      </c>
      <c r="S52" s="92">
        <f t="shared" si="89"/>
        <v>0.61721991701244816</v>
      </c>
      <c r="T52" s="92">
        <f t="shared" si="74"/>
        <v>0.80860995850622408</v>
      </c>
      <c r="U52" s="92">
        <f t="shared" si="90"/>
        <v>1.1477511495456827</v>
      </c>
      <c r="V52" s="93">
        <f t="shared" si="91"/>
        <v>0.27030925032252423</v>
      </c>
      <c r="W52" s="92">
        <f t="shared" si="76"/>
        <v>0.23717775543445627</v>
      </c>
      <c r="X52" s="117">
        <f t="shared" si="92"/>
        <v>0.67507002801120441</v>
      </c>
      <c r="Y52" s="103">
        <f t="shared" si="93"/>
        <v>0.27431996311664369</v>
      </c>
      <c r="Z52" s="103">
        <f t="shared" si="94"/>
        <v>0.58496126614877231</v>
      </c>
      <c r="AA52" s="118">
        <f t="shared" si="95"/>
        <v>0.30361107175854907</v>
      </c>
      <c r="AB52" s="117">
        <f t="shared" si="96"/>
        <v>0</v>
      </c>
      <c r="AC52" s="103">
        <f t="shared" si="97"/>
        <v>0</v>
      </c>
      <c r="AD52" s="103">
        <f t="shared" si="98"/>
        <v>0</v>
      </c>
      <c r="AE52" s="118">
        <f t="shared" si="99"/>
        <v>0</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21">
        <f t="shared" si="116"/>
        <v>7.110828537009771E-2</v>
      </c>
      <c r="AW52" s="21">
        <f t="shared" si="77"/>
        <v>0</v>
      </c>
      <c r="AX52" s="139">
        <f t="shared" si="117"/>
        <v>0</v>
      </c>
      <c r="AY52" s="140">
        <v>48</v>
      </c>
      <c r="AZ52" s="141">
        <f t="shared" si="118"/>
        <v>0</v>
      </c>
      <c r="BA52" s="19">
        <f t="shared" si="119"/>
        <v>195.16697088576547</v>
      </c>
      <c r="BB52" s="142">
        <f t="shared" si="120"/>
        <v>7.2016612256847454E-2</v>
      </c>
      <c r="BC52" s="19">
        <f t="shared" si="78"/>
        <v>198.29064685257183</v>
      </c>
      <c r="BD52" s="79">
        <f t="shared" si="121"/>
        <v>7.3169248688599003E-2</v>
      </c>
      <c r="BE52" s="144" t="e">
        <f t="shared" si="122"/>
        <v>#NUM!</v>
      </c>
      <c r="BF52" s="148" t="e">
        <f t="shared" si="123"/>
        <v>#NUM!</v>
      </c>
      <c r="BG52" s="144" t="e">
        <f t="shared" si="124"/>
        <v>#NUM!</v>
      </c>
      <c r="BH52" s="152" t="e">
        <f t="shared" si="125"/>
        <v>#NUM!</v>
      </c>
      <c r="BI52" s="28">
        <f t="shared" si="126"/>
        <v>0</v>
      </c>
      <c r="BJ52" s="29">
        <f t="shared" si="127"/>
        <v>0</v>
      </c>
      <c r="BK52" s="28">
        <f t="shared" si="128"/>
        <v>0</v>
      </c>
      <c r="BL52" s="29">
        <f t="shared" si="129"/>
        <v>0</v>
      </c>
      <c r="BM52" s="28">
        <f t="shared" si="130"/>
        <v>0</v>
      </c>
      <c r="BN52" s="29">
        <f t="shared" si="131"/>
        <v>0</v>
      </c>
      <c r="BO52" s="28">
        <f t="shared" si="132"/>
        <v>0</v>
      </c>
      <c r="BP52" s="29">
        <f t="shared" si="133"/>
        <v>0</v>
      </c>
      <c r="BQ52" s="150">
        <f t="shared" si="134"/>
        <v>0</v>
      </c>
      <c r="BR52" s="29">
        <f t="shared" si="135"/>
        <v>0</v>
      </c>
      <c r="BS52" s="91" t="e">
        <f t="shared" si="79"/>
        <v>#NUM!</v>
      </c>
      <c r="BT52" s="206" t="e">
        <f t="shared" si="80"/>
        <v>#NUM!</v>
      </c>
      <c r="BU52" s="206" t="e">
        <f t="shared" si="81"/>
        <v>#NUM!</v>
      </c>
      <c r="BV52" s="97" t="e">
        <f t="shared" si="82"/>
        <v>#NUM!</v>
      </c>
      <c r="BW52" s="123" t="e">
        <f t="shared" si="83"/>
        <v>#NUM!</v>
      </c>
      <c r="BX52" s="91">
        <f>(M52^2)*'Fly-Buck_Calc'!$B$80</f>
        <v>1.1769662195898827E-3</v>
      </c>
      <c r="BY52" s="92">
        <f t="shared" si="136"/>
        <v>5.0000000000000001E-3</v>
      </c>
      <c r="BZ52" s="92">
        <f t="shared" si="137"/>
        <v>0</v>
      </c>
      <c r="CA52" s="92">
        <f t="shared" si="138"/>
        <v>0</v>
      </c>
      <c r="CB52" s="92">
        <f t="shared" si="139"/>
        <v>0</v>
      </c>
      <c r="CC52" s="92">
        <f t="shared" si="140"/>
        <v>0</v>
      </c>
      <c r="CD52" s="92">
        <f t="shared" si="141"/>
        <v>0</v>
      </c>
      <c r="CE52" s="127">
        <f t="shared" si="84"/>
        <v>6.1769662195898826E-3</v>
      </c>
      <c r="CF52" s="91">
        <f t="shared" si="85"/>
        <v>4.8760029097295139E-3</v>
      </c>
      <c r="CG52" s="92">
        <f t="shared" si="142"/>
        <v>0.13014000000000001</v>
      </c>
      <c r="CH52" s="206">
        <f t="shared" si="143"/>
        <v>3.7500000000000003E-3</v>
      </c>
      <c r="CI52" s="92">
        <f t="shared" si="144"/>
        <v>0.34704000000000002</v>
      </c>
      <c r="CJ52" s="93">
        <f t="shared" si="145"/>
        <v>0.09</v>
      </c>
      <c r="CK52" s="92">
        <f t="shared" si="146"/>
        <v>0.5758060029097295</v>
      </c>
      <c r="CL52" s="188">
        <f t="shared" si="147"/>
        <v>0.15</v>
      </c>
      <c r="CM52" s="206">
        <f t="shared" si="148"/>
        <v>0</v>
      </c>
      <c r="CN52" s="206">
        <f t="shared" si="149"/>
        <v>0</v>
      </c>
      <c r="CO52" s="206">
        <f t="shared" si="150"/>
        <v>0</v>
      </c>
      <c r="CP52" s="206">
        <f t="shared" si="151"/>
        <v>0</v>
      </c>
      <c r="CQ52" s="227">
        <f t="shared" si="152"/>
        <v>0</v>
      </c>
      <c r="CR52" s="231">
        <f t="shared" si="86"/>
        <v>0.15</v>
      </c>
      <c r="CS52" s="206">
        <f t="shared" si="153"/>
        <v>0.73198296912931937</v>
      </c>
      <c r="CT52" s="206">
        <f t="shared" si="154"/>
        <v>8.2319829691293194</v>
      </c>
      <c r="CU52" s="206">
        <f t="shared" si="155"/>
        <v>0.91108060210105857</v>
      </c>
      <c r="CV52">
        <f t="shared" si="156"/>
        <v>57.84</v>
      </c>
    </row>
    <row r="53" spans="1:100" x14ac:dyDescent="0.55000000000000004">
      <c r="A53" s="185" t="s">
        <v>397</v>
      </c>
      <c r="B53" s="12">
        <f>COUT6_FB</f>
        <v>0</v>
      </c>
      <c r="C53" s="12" t="s">
        <v>343</v>
      </c>
      <c r="K53">
        <v>49</v>
      </c>
      <c r="L53" s="91">
        <f t="shared" si="87"/>
        <v>58.92</v>
      </c>
      <c r="M53" s="93">
        <f t="shared" si="88"/>
        <v>0.12729124236252545</v>
      </c>
      <c r="N53" s="122">
        <f t="shared" si="69"/>
        <v>1.3804028060647206E-4</v>
      </c>
      <c r="O53" s="97">
        <f t="shared" si="70"/>
        <v>1.2423625254582484E-4</v>
      </c>
      <c r="P53" s="123">
        <f t="shared" si="71"/>
        <v>1.1294204776893166E-4</v>
      </c>
      <c r="Q53" s="127">
        <f t="shared" si="72"/>
        <v>0.25458248472505091</v>
      </c>
      <c r="R53" s="91">
        <f t="shared" si="73"/>
        <v>0.5</v>
      </c>
      <c r="S53" s="92">
        <f t="shared" si="89"/>
        <v>0.62118126272912422</v>
      </c>
      <c r="T53" s="92">
        <f t="shared" si="74"/>
        <v>0.81059063136456211</v>
      </c>
      <c r="U53" s="92">
        <f t="shared" si="90"/>
        <v>1.1428081498306832</v>
      </c>
      <c r="V53" s="93">
        <f t="shared" si="91"/>
        <v>0.26801464827132832</v>
      </c>
      <c r="W53" s="92">
        <f t="shared" si="76"/>
        <v>0.23585756571670249</v>
      </c>
      <c r="X53" s="117">
        <f t="shared" si="92"/>
        <v>0.67076502732240428</v>
      </c>
      <c r="Y53" s="103">
        <f t="shared" si="93"/>
        <v>0.27608056121294416</v>
      </c>
      <c r="Z53" s="103">
        <f t="shared" si="94"/>
        <v>0.58319566770623665</v>
      </c>
      <c r="AA53" s="118">
        <f t="shared" si="95"/>
        <v>0.30019524784933421</v>
      </c>
      <c r="AB53" s="117">
        <f t="shared" si="96"/>
        <v>0</v>
      </c>
      <c r="AC53" s="103">
        <f t="shared" si="97"/>
        <v>0</v>
      </c>
      <c r="AD53" s="103">
        <f t="shared" si="98"/>
        <v>0</v>
      </c>
      <c r="AE53" s="118">
        <f t="shared" si="99"/>
        <v>0</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21">
        <f t="shared" si="116"/>
        <v>7.1564661604737817E-2</v>
      </c>
      <c r="AW53" s="21">
        <f t="shared" si="77"/>
        <v>0</v>
      </c>
      <c r="AX53" s="139">
        <f t="shared" si="117"/>
        <v>0</v>
      </c>
      <c r="AY53" s="140">
        <v>49</v>
      </c>
      <c r="AZ53" s="141">
        <f t="shared" si="118"/>
        <v>0</v>
      </c>
      <c r="BA53" s="19">
        <f t="shared" si="119"/>
        <v>198.51663574378316</v>
      </c>
      <c r="BB53" s="142">
        <f t="shared" si="120"/>
        <v>7.3252638589455979E-2</v>
      </c>
      <c r="BC53" s="19">
        <f t="shared" si="78"/>
        <v>201.43601971445801</v>
      </c>
      <c r="BD53" s="79">
        <f t="shared" si="121"/>
        <v>7.4329891274635004E-2</v>
      </c>
      <c r="BE53" s="144" t="e">
        <f t="shared" si="122"/>
        <v>#NUM!</v>
      </c>
      <c r="BF53" s="148" t="e">
        <f t="shared" si="123"/>
        <v>#NUM!</v>
      </c>
      <c r="BG53" s="144" t="e">
        <f t="shared" si="124"/>
        <v>#NUM!</v>
      </c>
      <c r="BH53" s="152" t="e">
        <f t="shared" si="125"/>
        <v>#NUM!</v>
      </c>
      <c r="BI53" s="28">
        <f t="shared" si="126"/>
        <v>0</v>
      </c>
      <c r="BJ53" s="29">
        <f t="shared" si="127"/>
        <v>0</v>
      </c>
      <c r="BK53" s="28">
        <f t="shared" si="128"/>
        <v>0</v>
      </c>
      <c r="BL53" s="29">
        <f t="shared" si="129"/>
        <v>0</v>
      </c>
      <c r="BM53" s="28">
        <f t="shared" si="130"/>
        <v>0</v>
      </c>
      <c r="BN53" s="29">
        <f t="shared" si="131"/>
        <v>0</v>
      </c>
      <c r="BO53" s="28">
        <f t="shared" si="132"/>
        <v>0</v>
      </c>
      <c r="BP53" s="29">
        <f t="shared" si="133"/>
        <v>0</v>
      </c>
      <c r="BQ53" s="150">
        <f t="shared" si="134"/>
        <v>0</v>
      </c>
      <c r="BR53" s="29">
        <f t="shared" si="135"/>
        <v>0</v>
      </c>
      <c r="BS53" s="91" t="e">
        <f t="shared" si="79"/>
        <v>#NUM!</v>
      </c>
      <c r="BT53" s="206" t="e">
        <f t="shared" si="80"/>
        <v>#NUM!</v>
      </c>
      <c r="BU53" s="206" t="e">
        <f t="shared" si="81"/>
        <v>#NUM!</v>
      </c>
      <c r="BV53" s="97" t="e">
        <f t="shared" si="82"/>
        <v>#NUM!</v>
      </c>
      <c r="BW53" s="123" t="e">
        <f t="shared" si="83"/>
        <v>#NUM!</v>
      </c>
      <c r="BX53" s="91">
        <f>(M53^2)*'Fly-Buck_Calc'!$B$80</f>
        <v>1.1342142267536637E-3</v>
      </c>
      <c r="BY53" s="92">
        <f t="shared" si="136"/>
        <v>5.0000000000000001E-3</v>
      </c>
      <c r="BZ53" s="92">
        <f t="shared" si="137"/>
        <v>0</v>
      </c>
      <c r="CA53" s="92">
        <f t="shared" si="138"/>
        <v>0</v>
      </c>
      <c r="CB53" s="92">
        <f t="shared" si="139"/>
        <v>0</v>
      </c>
      <c r="CC53" s="92">
        <f t="shared" si="140"/>
        <v>0</v>
      </c>
      <c r="CD53" s="92">
        <f t="shared" si="141"/>
        <v>0</v>
      </c>
      <c r="CE53" s="127">
        <f t="shared" si="84"/>
        <v>6.1342142267536634E-3</v>
      </c>
      <c r="CF53" s="91">
        <f t="shared" si="85"/>
        <v>4.6988875108366062E-3</v>
      </c>
      <c r="CG53" s="92">
        <f t="shared" si="142"/>
        <v>0.13257000000000002</v>
      </c>
      <c r="CH53" s="206">
        <f t="shared" si="143"/>
        <v>3.7500000000000003E-3</v>
      </c>
      <c r="CI53" s="92">
        <f t="shared" si="144"/>
        <v>0.35352</v>
      </c>
      <c r="CJ53" s="93">
        <f t="shared" si="145"/>
        <v>0.09</v>
      </c>
      <c r="CK53" s="92">
        <f t="shared" si="146"/>
        <v>0.5845388875108366</v>
      </c>
      <c r="CL53" s="188">
        <f t="shared" si="147"/>
        <v>0.15</v>
      </c>
      <c r="CM53" s="206">
        <f t="shared" si="148"/>
        <v>0</v>
      </c>
      <c r="CN53" s="206">
        <f t="shared" si="149"/>
        <v>0</v>
      </c>
      <c r="CO53" s="206">
        <f t="shared" si="150"/>
        <v>0</v>
      </c>
      <c r="CP53" s="206">
        <f t="shared" si="151"/>
        <v>0</v>
      </c>
      <c r="CQ53" s="227">
        <f t="shared" si="152"/>
        <v>0</v>
      </c>
      <c r="CR53" s="231">
        <f t="shared" si="86"/>
        <v>0.15</v>
      </c>
      <c r="CS53" s="206">
        <f t="shared" si="153"/>
        <v>0.74067310173759027</v>
      </c>
      <c r="CT53" s="206">
        <f t="shared" si="154"/>
        <v>8.24067310173759</v>
      </c>
      <c r="CU53" s="206">
        <f t="shared" si="155"/>
        <v>0.91011982970403049</v>
      </c>
      <c r="CV53">
        <f t="shared" si="156"/>
        <v>58.92</v>
      </c>
    </row>
    <row r="54" spans="1:100" ht="14.7" thickBot="1" x14ac:dyDescent="0.6">
      <c r="A54" s="524" t="s">
        <v>423</v>
      </c>
      <c r="B54" s="524"/>
      <c r="C54" s="524"/>
      <c r="K54">
        <v>50</v>
      </c>
      <c r="L54" s="104">
        <f t="shared" si="87"/>
        <v>60</v>
      </c>
      <c r="M54" s="93">
        <f t="shared" si="88"/>
        <v>0.125</v>
      </c>
      <c r="N54" s="122">
        <f t="shared" si="69"/>
        <v>1.3888888888888889E-4</v>
      </c>
      <c r="O54" s="97">
        <f t="shared" si="70"/>
        <v>1.2499999999999998E-4</v>
      </c>
      <c r="P54" s="123">
        <f t="shared" si="71"/>
        <v>1.1363636363636361E-4</v>
      </c>
      <c r="Q54" s="127">
        <f t="shared" si="72"/>
        <v>0.25</v>
      </c>
      <c r="R54" s="91">
        <f t="shared" si="73"/>
        <v>0.5</v>
      </c>
      <c r="S54" s="106">
        <f t="shared" si="89"/>
        <v>0.625</v>
      </c>
      <c r="T54" s="106">
        <f t="shared" si="74"/>
        <v>0.8125</v>
      </c>
      <c r="U54" s="106">
        <f t="shared" si="90"/>
        <v>1.1380457011060356</v>
      </c>
      <c r="V54" s="108">
        <f t="shared" si="91"/>
        <v>0.26577814212860568</v>
      </c>
      <c r="W54" s="92">
        <f t="shared" si="76"/>
        <v>0.23454854685828544</v>
      </c>
      <c r="X54" s="119">
        <f t="shared" si="92"/>
        <v>0.66666666666666663</v>
      </c>
      <c r="Y54" s="120">
        <f t="shared" si="93"/>
        <v>0.27777777777777785</v>
      </c>
      <c r="Z54" s="120">
        <f t="shared" si="94"/>
        <v>0.58151170598495339</v>
      </c>
      <c r="AA54" s="121">
        <f t="shared" si="95"/>
        <v>0.29691053231155484</v>
      </c>
      <c r="AB54" s="119">
        <f t="shared" si="96"/>
        <v>0</v>
      </c>
      <c r="AC54" s="120">
        <f t="shared" si="97"/>
        <v>0</v>
      </c>
      <c r="AD54" s="120">
        <f t="shared" si="98"/>
        <v>0</v>
      </c>
      <c r="AE54" s="121">
        <f t="shared" si="99"/>
        <v>0</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21">
        <f t="shared" si="116"/>
        <v>7.2004608294930869E-2</v>
      </c>
      <c r="AW54" s="21">
        <f t="shared" si="77"/>
        <v>0</v>
      </c>
      <c r="AX54" s="139">
        <f t="shared" si="117"/>
        <v>0</v>
      </c>
      <c r="AY54" s="140">
        <v>50</v>
      </c>
      <c r="AZ54" s="141">
        <f t="shared" si="118"/>
        <v>0</v>
      </c>
      <c r="BA54" s="19">
        <f t="shared" si="119"/>
        <v>201.77945706581579</v>
      </c>
      <c r="BB54" s="142">
        <f t="shared" si="120"/>
        <v>7.4456619657286033E-2</v>
      </c>
      <c r="BC54" s="19">
        <f t="shared" si="78"/>
        <v>204.49601053675821</v>
      </c>
      <c r="BD54" s="79">
        <f t="shared" si="121"/>
        <v>7.5459027888063773E-2</v>
      </c>
      <c r="BE54" s="145" t="e">
        <f t="shared" si="122"/>
        <v>#NUM!</v>
      </c>
      <c r="BF54" s="149" t="e">
        <f t="shared" si="123"/>
        <v>#NUM!</v>
      </c>
      <c r="BG54" s="145" t="e">
        <f t="shared" si="124"/>
        <v>#NUM!</v>
      </c>
      <c r="BH54" s="153" t="e">
        <f t="shared" si="125"/>
        <v>#NUM!</v>
      </c>
      <c r="BI54" s="30">
        <f t="shared" si="126"/>
        <v>0</v>
      </c>
      <c r="BJ54" s="32">
        <f t="shared" si="127"/>
        <v>0</v>
      </c>
      <c r="BK54" s="30">
        <f t="shared" si="128"/>
        <v>0</v>
      </c>
      <c r="BL54" s="32">
        <f t="shared" si="129"/>
        <v>0</v>
      </c>
      <c r="BM54" s="30">
        <f t="shared" si="130"/>
        <v>0</v>
      </c>
      <c r="BN54" s="32">
        <f t="shared" si="131"/>
        <v>0</v>
      </c>
      <c r="BO54" s="30">
        <f t="shared" si="132"/>
        <v>0</v>
      </c>
      <c r="BP54" s="32">
        <f t="shared" si="133"/>
        <v>0</v>
      </c>
      <c r="BQ54" s="151">
        <f t="shared" si="134"/>
        <v>0</v>
      </c>
      <c r="BR54" s="32">
        <f t="shared" si="135"/>
        <v>0</v>
      </c>
      <c r="BS54" s="104" t="e">
        <f t="shared" si="79"/>
        <v>#NUM!</v>
      </c>
      <c r="BT54" s="226" t="e">
        <f t="shared" si="80"/>
        <v>#NUM!</v>
      </c>
      <c r="BU54" s="226" t="e">
        <f t="shared" si="81"/>
        <v>#NUM!</v>
      </c>
      <c r="BV54" s="125" t="e">
        <f t="shared" si="82"/>
        <v>#NUM!</v>
      </c>
      <c r="BW54" s="126" t="e">
        <f t="shared" si="83"/>
        <v>#NUM!</v>
      </c>
      <c r="BX54" s="104">
        <f>(M54^2)*'Fly-Buck_Calc'!$B$80</f>
        <v>1.0937500000000001E-3</v>
      </c>
      <c r="BY54" s="106">
        <f t="shared" si="136"/>
        <v>5.0000000000000001E-3</v>
      </c>
      <c r="BZ54" s="106">
        <f t="shared" si="137"/>
        <v>0</v>
      </c>
      <c r="CA54" s="106">
        <f t="shared" si="138"/>
        <v>0</v>
      </c>
      <c r="CB54" s="106">
        <f t="shared" si="139"/>
        <v>0</v>
      </c>
      <c r="CC54" s="106">
        <f t="shared" si="140"/>
        <v>0</v>
      </c>
      <c r="CD54" s="106">
        <f t="shared" si="141"/>
        <v>0</v>
      </c>
      <c r="CE54" s="128">
        <f t="shared" si="84"/>
        <v>6.0937500000000002E-3</v>
      </c>
      <c r="CF54" s="91">
        <f t="shared" si="85"/>
        <v>4.5312499999999997E-3</v>
      </c>
      <c r="CG54" s="106">
        <f t="shared" si="142"/>
        <v>0.13500000000000001</v>
      </c>
      <c r="CH54" s="206">
        <f t="shared" si="143"/>
        <v>3.7500000000000003E-3</v>
      </c>
      <c r="CI54" s="92">
        <f t="shared" si="144"/>
        <v>0.36</v>
      </c>
      <c r="CJ54" s="108">
        <f t="shared" si="145"/>
        <v>0.09</v>
      </c>
      <c r="CK54" s="92">
        <f t="shared" si="146"/>
        <v>0.59328124999999998</v>
      </c>
      <c r="CL54" s="189">
        <f t="shared" si="147"/>
        <v>0.15</v>
      </c>
      <c r="CM54" s="226">
        <f t="shared" si="148"/>
        <v>0</v>
      </c>
      <c r="CN54" s="226">
        <f t="shared" si="149"/>
        <v>0</v>
      </c>
      <c r="CO54" s="226">
        <f t="shared" si="150"/>
        <v>0</v>
      </c>
      <c r="CP54" s="226">
        <f t="shared" si="151"/>
        <v>0</v>
      </c>
      <c r="CQ54" s="228">
        <f t="shared" si="152"/>
        <v>0</v>
      </c>
      <c r="CR54" s="231">
        <f t="shared" si="86"/>
        <v>0.15</v>
      </c>
      <c r="CS54" s="206">
        <f t="shared" si="153"/>
        <v>0.74937500000000001</v>
      </c>
      <c r="CT54" s="206">
        <f t="shared" si="154"/>
        <v>8.2493750000000006</v>
      </c>
      <c r="CU54" s="206">
        <f t="shared" si="155"/>
        <v>0.90915978483218418</v>
      </c>
      <c r="CV54">
        <f t="shared" si="156"/>
        <v>60</v>
      </c>
    </row>
    <row r="55" spans="1:100" x14ac:dyDescent="0.55000000000000004">
      <c r="A55" s="204" t="s">
        <v>432</v>
      </c>
      <c r="B55" s="12">
        <f>IF(AND(Vout1&lt;&gt;0,Iout1&lt;&gt;0,Ns1_FlyB&lt;&gt;0),((Ns1_FlyB/Np)*(VinMax-VoutPri_FB))+ABS(Vout1),0)</f>
        <v>82.5</v>
      </c>
      <c r="C55" s="12" t="s">
        <v>5</v>
      </c>
    </row>
    <row r="56" spans="1:100" x14ac:dyDescent="0.55000000000000004">
      <c r="A56" s="204" t="s">
        <v>433</v>
      </c>
      <c r="B56" s="12">
        <f>IF(AND(Vout2&lt;&gt;0,Iout2&lt;&gt;0,Ns2_FlyB&lt;&gt;0),((Ns2_FlyB/Np)*(VinMax-VoutPri_FB))+ABS(Vout2),0)</f>
        <v>0</v>
      </c>
      <c r="C56" s="12"/>
    </row>
    <row r="57" spans="1:100" x14ac:dyDescent="0.55000000000000004">
      <c r="A57" s="204" t="s">
        <v>434</v>
      </c>
      <c r="B57" s="12">
        <f>IF(AND(Vout3&lt;&gt;0,Iout3&lt;&gt;0,Ns3_FlyB&lt;&gt;0),((Ns3_FlyB/Np)*(VinMax-VoutPri_FB))+ABS(Vout3),0)</f>
        <v>0</v>
      </c>
      <c r="C57" s="12"/>
    </row>
    <row r="58" spans="1:100" x14ac:dyDescent="0.55000000000000004">
      <c r="A58" s="204" t="s">
        <v>435</v>
      </c>
      <c r="B58" s="12">
        <f>IF(AND(Vout4&lt;&gt;0,Iout4&lt;&gt;0,Ns4_FlyB&lt;&gt;0),((Ns4_FlyB/Np)*(VinMax-VoutPri_FB))+ABS(Vout4),0)</f>
        <v>0</v>
      </c>
      <c r="C58" s="12"/>
    </row>
    <row r="59" spans="1:100" x14ac:dyDescent="0.55000000000000004">
      <c r="A59" s="204" t="s">
        <v>436</v>
      </c>
      <c r="B59" s="12">
        <f>IF(AND(Vout5&lt;&gt;0,Iout5&lt;&gt;0,Ns5_FlyB&lt;&gt;0),((Ns5_FlyB/Np)*(VinMax-VoutPri_FB))+ABS(Vout5),0)</f>
        <v>0</v>
      </c>
      <c r="C59" s="12"/>
    </row>
    <row r="60" spans="1:100" x14ac:dyDescent="0.55000000000000004">
      <c r="A60" s="204" t="s">
        <v>437</v>
      </c>
      <c r="B60" s="12">
        <f>IF(AND(Vout6&lt;&gt;0,Iout6&lt;&gt;0,Ns6_FlyB&lt;&gt;0),((Ns6_FlyB/Np)*(VinMax-VoutPri_FB))+ABS(Vout6),0)</f>
        <v>0</v>
      </c>
      <c r="C60" s="12"/>
    </row>
    <row r="61" spans="1:100" x14ac:dyDescent="0.55000000000000004">
      <c r="A61" s="204" t="s">
        <v>439</v>
      </c>
      <c r="B61" s="12">
        <f>VinMax</f>
        <v>60</v>
      </c>
      <c r="C61" s="12"/>
    </row>
    <row r="62" spans="1:100" x14ac:dyDescent="0.55000000000000004">
      <c r="A62" s="524" t="s">
        <v>459</v>
      </c>
      <c r="B62" s="524"/>
      <c r="C62" s="524"/>
      <c r="D62" t="s">
        <v>565</v>
      </c>
    </row>
    <row r="63" spans="1:100" x14ac:dyDescent="0.55000000000000004">
      <c r="A63" s="214" t="s">
        <v>518</v>
      </c>
      <c r="B63" s="12">
        <f>IF('Fly-Buck'!B37="LM5017",1,IF('Fly-Buck'!B37="LM5018",2,IF('Fly-Buck'!B37="LM5019",3,IF('Fly-Buck'!B37="LM5160",4,1))))</f>
        <v>4</v>
      </c>
      <c r="C63" s="12"/>
    </row>
    <row r="64" spans="1:100" x14ac:dyDescent="0.55000000000000004">
      <c r="A64" s="214" t="s">
        <v>518</v>
      </c>
      <c r="B64" s="250" t="str">
        <f>VLOOKUP(B63,Parts!A4:BE11,2,FALSE)</f>
        <v>LM5160</v>
      </c>
      <c r="C64" s="12"/>
    </row>
    <row r="65" spans="1:3" x14ac:dyDescent="0.55000000000000004">
      <c r="A65" s="214" t="s">
        <v>0</v>
      </c>
      <c r="B65" s="12">
        <f>VLOOKUP(B63,Parts!A4:BE11,4,FALSE)</f>
        <v>4.5</v>
      </c>
      <c r="C65" s="12" t="s">
        <v>5</v>
      </c>
    </row>
    <row r="66" spans="1:3" x14ac:dyDescent="0.55000000000000004">
      <c r="A66" s="214" t="s">
        <v>2</v>
      </c>
      <c r="B66" s="12">
        <f>VLOOKUP(B63,Parts!A4:BE11,5,FALSE)</f>
        <v>65</v>
      </c>
      <c r="C66" s="12" t="s">
        <v>5</v>
      </c>
    </row>
    <row r="67" spans="1:3" x14ac:dyDescent="0.55000000000000004">
      <c r="A67" s="214" t="s">
        <v>541</v>
      </c>
      <c r="B67" s="12">
        <f>VLOOKUP(B63,Parts!A4:BE11,12,FALSE)</f>
        <v>8.9999999999999999E-11</v>
      </c>
      <c r="C67" s="12"/>
    </row>
    <row r="68" spans="1:3" x14ac:dyDescent="0.55000000000000004">
      <c r="A68" s="214" t="s">
        <v>542</v>
      </c>
      <c r="B68" s="12">
        <f>VLOOKUP(B63,Parts!A4:BE11,8,FALSE)</f>
        <v>2</v>
      </c>
      <c r="C68" s="12" t="s">
        <v>5</v>
      </c>
    </row>
    <row r="69" spans="1:3" x14ac:dyDescent="0.55000000000000004">
      <c r="A69" s="214" t="s">
        <v>543</v>
      </c>
      <c r="B69" s="12">
        <f>VLOOKUP(B63,Parts!A4:BE11,18,FALSE)</f>
        <v>7.5</v>
      </c>
      <c r="C69" s="12" t="s">
        <v>5</v>
      </c>
    </row>
    <row r="70" spans="1:3" x14ac:dyDescent="0.55000000000000004">
      <c r="A70" s="214" t="s">
        <v>544</v>
      </c>
      <c r="B70" s="12">
        <f>VLOOKUP(B63,Parts!A4:BE11,20,FALSE)</f>
        <v>0.28999999999999998</v>
      </c>
      <c r="C70" s="215" t="s">
        <v>246</v>
      </c>
    </row>
    <row r="71" spans="1:3" x14ac:dyDescent="0.55000000000000004">
      <c r="A71" s="214" t="s">
        <v>584</v>
      </c>
      <c r="B71" s="12">
        <f>VLOOKUP(B63,Parts!A4:BE11,21,FALSE)</f>
        <v>2E-8</v>
      </c>
      <c r="C71" s="12" t="s">
        <v>586</v>
      </c>
    </row>
    <row r="72" spans="1:3" x14ac:dyDescent="0.55000000000000004">
      <c r="A72" s="214" t="s">
        <v>545</v>
      </c>
      <c r="B72" s="12">
        <f>VLOOKUP(B63,Parts!A4:BE11,22,FALSE)</f>
        <v>0.13</v>
      </c>
      <c r="C72" s="215" t="s">
        <v>246</v>
      </c>
    </row>
    <row r="73" spans="1:3" x14ac:dyDescent="0.55000000000000004">
      <c r="A73" s="214" t="s">
        <v>583</v>
      </c>
      <c r="B73" s="12">
        <f>VLOOKUP(B63,Parts!A4:BE11,23,FALSE)</f>
        <v>2E-8</v>
      </c>
      <c r="C73" s="12" t="s">
        <v>586</v>
      </c>
    </row>
    <row r="74" spans="1:3" x14ac:dyDescent="0.55000000000000004">
      <c r="A74" s="214" t="s">
        <v>566</v>
      </c>
      <c r="B74" s="12">
        <f>VLOOKUP(B63,Parts!A4:BE11,27,FALSE)</f>
        <v>1.9</v>
      </c>
      <c r="C74" s="12" t="s">
        <v>6</v>
      </c>
    </row>
    <row r="75" spans="1:3" x14ac:dyDescent="0.55000000000000004">
      <c r="A75" s="214" t="s">
        <v>909</v>
      </c>
      <c r="B75" s="12">
        <f>VLOOKUP(B63,Parts!A4:BM16,64,FALSE)</f>
        <v>2.5000000000000002E-8</v>
      </c>
      <c r="C75" s="12" t="s">
        <v>312</v>
      </c>
    </row>
    <row r="76" spans="1:3" x14ac:dyDescent="0.55000000000000004">
      <c r="A76" s="214" t="s">
        <v>912</v>
      </c>
      <c r="B76" s="12">
        <f>VLOOKUP(B63,Parts!A4:BM16,65,FALSE)</f>
        <v>2E-8</v>
      </c>
      <c r="C76" s="12" t="s">
        <v>913</v>
      </c>
    </row>
    <row r="77" spans="1:3" x14ac:dyDescent="0.55000000000000004">
      <c r="A77" s="214" t="s">
        <v>582</v>
      </c>
      <c r="B77" s="12"/>
      <c r="C77" s="12"/>
    </row>
    <row r="78" spans="1:3" x14ac:dyDescent="0.55000000000000004">
      <c r="A78" s="214" t="s">
        <v>894</v>
      </c>
      <c r="B78" s="12">
        <f>VLOOKUP(B63,Parts!A4:BK16,57,FALSE)</f>
        <v>16</v>
      </c>
      <c r="C78" s="12" t="s">
        <v>897</v>
      </c>
    </row>
    <row r="79" spans="1:3" x14ac:dyDescent="0.55000000000000004">
      <c r="A79" s="214" t="s">
        <v>895</v>
      </c>
      <c r="B79" s="12">
        <f>VLOOKUP(B63,Parts!A4:BK16,61,FALSE)</f>
        <v>4.6180000000000003</v>
      </c>
      <c r="C79" s="12" t="s">
        <v>896</v>
      </c>
    </row>
    <row r="80" spans="1:3" x14ac:dyDescent="0.55000000000000004">
      <c r="A80" s="214" t="s">
        <v>574</v>
      </c>
      <c r="B80" s="12">
        <f>'Fly-Buck'!B25/1000</f>
        <v>7.0000000000000007E-2</v>
      </c>
      <c r="C80" s="215" t="s">
        <v>246</v>
      </c>
    </row>
    <row r="81" spans="1:6" x14ac:dyDescent="0.55000000000000004">
      <c r="A81" s="214" t="s">
        <v>575</v>
      </c>
      <c r="B81" s="12">
        <f>'Fly-Buck'!G15/1000</f>
        <v>0.02</v>
      </c>
      <c r="C81" s="215" t="s">
        <v>246</v>
      </c>
    </row>
    <row r="82" spans="1:6" x14ac:dyDescent="0.55000000000000004">
      <c r="A82" s="214" t="s">
        <v>576</v>
      </c>
      <c r="B82" s="12">
        <f>'Fly-Buck'!G16/1000</f>
        <v>0.02</v>
      </c>
      <c r="C82" s="215" t="s">
        <v>246</v>
      </c>
    </row>
    <row r="83" spans="1:6" x14ac:dyDescent="0.55000000000000004">
      <c r="A83" s="214" t="s">
        <v>577</v>
      </c>
      <c r="B83" s="12">
        <f>'Fly-Buck'!G17/1000</f>
        <v>0</v>
      </c>
      <c r="C83" s="215" t="s">
        <v>246</v>
      </c>
    </row>
    <row r="84" spans="1:6" x14ac:dyDescent="0.55000000000000004">
      <c r="A84" s="214" t="s">
        <v>578</v>
      </c>
      <c r="B84" s="12">
        <f>'Fly-Buck'!G18/1000</f>
        <v>0</v>
      </c>
      <c r="C84" s="215" t="s">
        <v>246</v>
      </c>
    </row>
    <row r="85" spans="1:6" x14ac:dyDescent="0.55000000000000004">
      <c r="A85" s="214" t="s">
        <v>579</v>
      </c>
      <c r="B85" s="12">
        <f>'Fly-Buck'!G19/1000</f>
        <v>0</v>
      </c>
      <c r="C85" s="215" t="s">
        <v>246</v>
      </c>
    </row>
    <row r="86" spans="1:6" x14ac:dyDescent="0.55000000000000004">
      <c r="A86" s="214" t="s">
        <v>580</v>
      </c>
      <c r="B86" s="12">
        <f>'Fly-Buck'!G20/1000</f>
        <v>0</v>
      </c>
      <c r="C86" s="215" t="s">
        <v>246</v>
      </c>
    </row>
    <row r="87" spans="1:6" x14ac:dyDescent="0.55000000000000004">
      <c r="A87" s="222"/>
    </row>
    <row r="88" spans="1:6" ht="14.7" thickBot="1" x14ac:dyDescent="0.6">
      <c r="A88" s="222" t="s">
        <v>615</v>
      </c>
    </row>
    <row r="89" spans="1:6" x14ac:dyDescent="0.55000000000000004">
      <c r="A89" s="515" t="s">
        <v>514</v>
      </c>
      <c r="B89" s="516"/>
      <c r="C89" s="516"/>
      <c r="D89" s="516"/>
      <c r="E89" s="517"/>
      <c r="F89" t="s">
        <v>843</v>
      </c>
    </row>
    <row r="90" spans="1:6" x14ac:dyDescent="0.55000000000000004">
      <c r="A90" s="273"/>
      <c r="B90" s="94" t="s">
        <v>838</v>
      </c>
      <c r="C90" s="92"/>
      <c r="D90" s="92" t="s">
        <v>836</v>
      </c>
      <c r="E90" s="93" t="s">
        <v>837</v>
      </c>
    </row>
    <row r="91" spans="1:6" x14ac:dyDescent="0.55000000000000004">
      <c r="A91" s="91" t="s">
        <v>839</v>
      </c>
      <c r="B91" s="92">
        <f>VoutPri_FB*Parts!AA7*eff</f>
        <v>28.5</v>
      </c>
      <c r="C91" s="92" t="s">
        <v>86</v>
      </c>
      <c r="D91" s="92">
        <f>Pout_FB</f>
        <v>7.5</v>
      </c>
      <c r="E91" s="93">
        <f>IF(B91&gt;D91,1,0)</f>
        <v>1</v>
      </c>
    </row>
    <row r="92" spans="1:6" x14ac:dyDescent="0.55000000000000004">
      <c r="A92" s="91" t="s">
        <v>668</v>
      </c>
      <c r="B92" s="92">
        <f>Parts!D7</f>
        <v>4.5</v>
      </c>
      <c r="C92" s="92" t="s">
        <v>5</v>
      </c>
      <c r="D92" s="92">
        <f>VIN_MIN</f>
        <v>9</v>
      </c>
      <c r="E92" s="93">
        <f>IF(B92&lt;D92,1,0)</f>
        <v>1</v>
      </c>
    </row>
    <row r="93" spans="1:6" x14ac:dyDescent="0.55000000000000004">
      <c r="A93" s="91" t="s">
        <v>669</v>
      </c>
      <c r="B93" s="92">
        <f>Parts!E7</f>
        <v>65</v>
      </c>
      <c r="C93" s="92"/>
      <c r="D93" s="92">
        <f>VIN_MAX</f>
        <v>36</v>
      </c>
      <c r="E93" s="93">
        <f>IF(B93&gt;D93,1,0)</f>
        <v>1</v>
      </c>
    </row>
    <row r="94" spans="1:6" x14ac:dyDescent="0.55000000000000004">
      <c r="A94" s="91" t="s">
        <v>840</v>
      </c>
      <c r="B94" s="92">
        <f>Parts!H7</f>
        <v>2</v>
      </c>
      <c r="C94" s="92"/>
      <c r="D94" s="92">
        <f>VoutPri_FB</f>
        <v>15</v>
      </c>
      <c r="E94" s="93">
        <f>IF(B94&lt;D94,1,0)</f>
        <v>1</v>
      </c>
    </row>
    <row r="95" spans="1:6" x14ac:dyDescent="0.55000000000000004">
      <c r="A95" s="91" t="s">
        <v>841</v>
      </c>
      <c r="B95" s="92">
        <f>1000*Parts!I7</f>
        <v>50000</v>
      </c>
      <c r="C95" s="92"/>
      <c r="D95" s="92">
        <f>Fsw</f>
        <v>300000</v>
      </c>
      <c r="E95" s="93">
        <f>IF(B95&lt;D95,1,0)</f>
        <v>1</v>
      </c>
    </row>
    <row r="96" spans="1:6" ht="14.7" thickBot="1" x14ac:dyDescent="0.6">
      <c r="A96" s="104" t="s">
        <v>842</v>
      </c>
      <c r="B96" s="106">
        <f>1000*Parts!J7</f>
        <v>1000000</v>
      </c>
      <c r="C96" s="106"/>
      <c r="D96" s="106">
        <f>Fsw</f>
        <v>300000</v>
      </c>
      <c r="E96" s="108">
        <f>IF(B96&gt;D96,1,0)</f>
        <v>1</v>
      </c>
      <c r="F96">
        <f>PRODUCT(E91:E96)</f>
        <v>1</v>
      </c>
    </row>
    <row r="97" spans="1:6" x14ac:dyDescent="0.55000000000000004">
      <c r="A97" s="515" t="s">
        <v>108</v>
      </c>
      <c r="B97" s="516"/>
      <c r="C97" s="516"/>
      <c r="D97" s="516"/>
      <c r="E97" s="517"/>
    </row>
    <row r="98" spans="1:6" x14ac:dyDescent="0.55000000000000004">
      <c r="A98" s="273"/>
      <c r="B98" s="94" t="s">
        <v>838</v>
      </c>
      <c r="C98" s="92"/>
      <c r="D98" s="92" t="s">
        <v>836</v>
      </c>
      <c r="E98" s="93" t="s">
        <v>837</v>
      </c>
    </row>
    <row r="99" spans="1:6" x14ac:dyDescent="0.55000000000000004">
      <c r="A99" s="91" t="s">
        <v>839</v>
      </c>
      <c r="B99" s="92">
        <f>VoutPri_FB*Parts!AA4*eff</f>
        <v>10.5</v>
      </c>
      <c r="C99" s="92" t="s">
        <v>86</v>
      </c>
      <c r="D99" s="92">
        <f>Pout_FB</f>
        <v>7.5</v>
      </c>
      <c r="E99" s="93">
        <f>IF(B99&gt;D99,1,0)</f>
        <v>1</v>
      </c>
    </row>
    <row r="100" spans="1:6" x14ac:dyDescent="0.55000000000000004">
      <c r="A100" s="91" t="s">
        <v>668</v>
      </c>
      <c r="B100" s="92">
        <f>Parts!D4</f>
        <v>7.5</v>
      </c>
      <c r="C100" s="92" t="s">
        <v>5</v>
      </c>
      <c r="D100" s="92">
        <f>VIN_MIN</f>
        <v>9</v>
      </c>
      <c r="E100" s="93">
        <f>IF(B100&lt;D100,1,0)</f>
        <v>1</v>
      </c>
    </row>
    <row r="101" spans="1:6" x14ac:dyDescent="0.55000000000000004">
      <c r="A101" s="91" t="s">
        <v>669</v>
      </c>
      <c r="B101" s="92">
        <f>Parts!E4</f>
        <v>100</v>
      </c>
      <c r="C101" s="92"/>
      <c r="D101" s="92">
        <f>VIN_MAX</f>
        <v>36</v>
      </c>
      <c r="E101" s="93">
        <f>IF(B101&gt;D101,1,0)</f>
        <v>1</v>
      </c>
    </row>
    <row r="102" spans="1:6" x14ac:dyDescent="0.55000000000000004">
      <c r="A102" s="91" t="s">
        <v>840</v>
      </c>
      <c r="B102" s="92">
        <f>Parts!H4</f>
        <v>1.2250000000000001</v>
      </c>
      <c r="C102" s="92"/>
      <c r="D102" s="92">
        <f>VoutPri_FB</f>
        <v>15</v>
      </c>
      <c r="E102" s="93">
        <f>IF(B102&lt;D102,1,0)</f>
        <v>1</v>
      </c>
    </row>
    <row r="103" spans="1:6" x14ac:dyDescent="0.55000000000000004">
      <c r="A103" s="91" t="s">
        <v>841</v>
      </c>
      <c r="B103" s="92">
        <f>Parts!I4*1000</f>
        <v>50000</v>
      </c>
      <c r="C103" s="92"/>
      <c r="D103" s="92">
        <f>Fsw</f>
        <v>300000</v>
      </c>
      <c r="E103" s="93">
        <f>IF(B103&lt;D103,1,0)</f>
        <v>1</v>
      </c>
    </row>
    <row r="104" spans="1:6" ht="14.7" thickBot="1" x14ac:dyDescent="0.6">
      <c r="A104" s="104" t="s">
        <v>842</v>
      </c>
      <c r="B104" s="106">
        <f>Parts!J4*1000</f>
        <v>1000000</v>
      </c>
      <c r="C104" s="106"/>
      <c r="D104" s="106">
        <f>Fsw</f>
        <v>300000</v>
      </c>
      <c r="E104" s="108">
        <f>IF(B104&gt;D104,1,0)</f>
        <v>1</v>
      </c>
      <c r="F104">
        <f>PRODUCT(E99:E104)</f>
        <v>1</v>
      </c>
    </row>
    <row r="105" spans="1:6" x14ac:dyDescent="0.55000000000000004">
      <c r="A105" s="515" t="s">
        <v>109</v>
      </c>
      <c r="B105" s="516"/>
      <c r="C105" s="516"/>
      <c r="D105" s="516"/>
      <c r="E105" s="517"/>
    </row>
    <row r="106" spans="1:6" x14ac:dyDescent="0.55000000000000004">
      <c r="A106" s="273"/>
      <c r="B106" s="94" t="s">
        <v>838</v>
      </c>
      <c r="C106" s="92"/>
      <c r="D106" s="92" t="s">
        <v>836</v>
      </c>
      <c r="E106" s="93" t="s">
        <v>837</v>
      </c>
    </row>
    <row r="107" spans="1:6" x14ac:dyDescent="0.55000000000000004">
      <c r="A107" s="91" t="s">
        <v>839</v>
      </c>
      <c r="B107" s="92">
        <f>VoutPri_FB*Parts!AA5*eff</f>
        <v>5.8500000000000005</v>
      </c>
      <c r="C107" s="92" t="s">
        <v>86</v>
      </c>
      <c r="D107" s="92">
        <f>Pout_FB</f>
        <v>7.5</v>
      </c>
      <c r="E107" s="93">
        <f>IF(B107&gt;D107,1,0)</f>
        <v>0</v>
      </c>
    </row>
    <row r="108" spans="1:6" x14ac:dyDescent="0.55000000000000004">
      <c r="A108" s="91" t="s">
        <v>668</v>
      </c>
      <c r="B108" s="92">
        <f>Parts!D5</f>
        <v>7.5</v>
      </c>
      <c r="C108" s="92" t="s">
        <v>5</v>
      </c>
      <c r="D108" s="92">
        <f>VIN_MIN</f>
        <v>9</v>
      </c>
      <c r="E108" s="93">
        <f>IF(B108&lt;D108,1,0)</f>
        <v>1</v>
      </c>
    </row>
    <row r="109" spans="1:6" x14ac:dyDescent="0.55000000000000004">
      <c r="A109" s="91" t="s">
        <v>669</v>
      </c>
      <c r="B109" s="92">
        <f>Parts!E5</f>
        <v>100</v>
      </c>
      <c r="C109" s="92"/>
      <c r="D109" s="92">
        <f>VIN_MAX</f>
        <v>36</v>
      </c>
      <c r="E109" s="93">
        <f>IF(B109&gt;D109,1,0)</f>
        <v>1</v>
      </c>
    </row>
    <row r="110" spans="1:6" x14ac:dyDescent="0.55000000000000004">
      <c r="A110" s="91" t="s">
        <v>840</v>
      </c>
      <c r="B110" s="92">
        <f>Parts!H5</f>
        <v>1.2250000000000001</v>
      </c>
      <c r="C110" s="92"/>
      <c r="D110" s="92">
        <f>VoutPri_FB</f>
        <v>15</v>
      </c>
      <c r="E110" s="93">
        <f>IF(B110&lt;D110,1,0)</f>
        <v>1</v>
      </c>
    </row>
    <row r="111" spans="1:6" x14ac:dyDescent="0.55000000000000004">
      <c r="A111" s="91" t="s">
        <v>841</v>
      </c>
      <c r="B111" s="92">
        <f>Parts!I5*1000</f>
        <v>50000</v>
      </c>
      <c r="C111" s="92"/>
      <c r="D111" s="92">
        <f>Fsw</f>
        <v>300000</v>
      </c>
      <c r="E111" s="93">
        <f>IF(B111&lt;D111,1,0)</f>
        <v>1</v>
      </c>
    </row>
    <row r="112" spans="1:6" ht="14.7" thickBot="1" x14ac:dyDescent="0.6">
      <c r="A112" s="104" t="s">
        <v>842</v>
      </c>
      <c r="B112" s="106">
        <f>Parts!J5*1000</f>
        <v>1000000</v>
      </c>
      <c r="C112" s="106"/>
      <c r="D112" s="106">
        <f>Fsw</f>
        <v>300000</v>
      </c>
      <c r="E112" s="108">
        <f>IF(B112&gt;D112,1,0)</f>
        <v>1</v>
      </c>
      <c r="F112">
        <f>PRODUCT(E107:E112)</f>
        <v>0</v>
      </c>
    </row>
    <row r="113" spans="1:9" x14ac:dyDescent="0.55000000000000004">
      <c r="A113" s="515" t="s">
        <v>110</v>
      </c>
      <c r="B113" s="516"/>
      <c r="C113" s="516"/>
      <c r="D113" s="516"/>
      <c r="E113" s="517"/>
    </row>
    <row r="114" spans="1:9" x14ac:dyDescent="0.55000000000000004">
      <c r="A114" s="273"/>
      <c r="B114" s="94" t="s">
        <v>838</v>
      </c>
      <c r="C114" s="92"/>
      <c r="D114" s="92" t="s">
        <v>836</v>
      </c>
      <c r="E114" s="93" t="s">
        <v>837</v>
      </c>
    </row>
    <row r="115" spans="1:9" x14ac:dyDescent="0.55000000000000004">
      <c r="A115" s="91" t="s">
        <v>839</v>
      </c>
      <c r="B115" s="92">
        <f>VoutPri_FB*Parts!AA6*eff</f>
        <v>2.25</v>
      </c>
      <c r="C115" s="92" t="s">
        <v>86</v>
      </c>
      <c r="D115" s="92">
        <f>Pout_FB</f>
        <v>7.5</v>
      </c>
      <c r="E115" s="93">
        <f>IF(B115&gt;D115,1,0)</f>
        <v>0</v>
      </c>
    </row>
    <row r="116" spans="1:9" x14ac:dyDescent="0.55000000000000004">
      <c r="A116" s="91" t="s">
        <v>668</v>
      </c>
      <c r="B116" s="92">
        <f>Parts!D6</f>
        <v>7.5</v>
      </c>
      <c r="C116" s="92" t="s">
        <v>5</v>
      </c>
      <c r="D116" s="92">
        <f>VIN_MIN</f>
        <v>9</v>
      </c>
      <c r="E116" s="93">
        <f>IF(B116&lt;D116,1,0)</f>
        <v>1</v>
      </c>
    </row>
    <row r="117" spans="1:9" x14ac:dyDescent="0.55000000000000004">
      <c r="A117" s="91" t="s">
        <v>669</v>
      </c>
      <c r="B117" s="92">
        <f>Parts!E6</f>
        <v>100</v>
      </c>
      <c r="C117" s="92"/>
      <c r="D117" s="92">
        <f>VIN_MAX</f>
        <v>36</v>
      </c>
      <c r="E117" s="93">
        <f>IF(B117&gt;D117,1,0)</f>
        <v>1</v>
      </c>
    </row>
    <row r="118" spans="1:9" x14ac:dyDescent="0.55000000000000004">
      <c r="A118" s="91" t="s">
        <v>840</v>
      </c>
      <c r="B118" s="92">
        <f>Parts!H6</f>
        <v>1.2250000000000001</v>
      </c>
      <c r="C118" s="92"/>
      <c r="D118" s="92">
        <f>VoutPri_FB</f>
        <v>15</v>
      </c>
      <c r="E118" s="93">
        <f>IF(B118&lt;D118,1,0)</f>
        <v>1</v>
      </c>
    </row>
    <row r="119" spans="1:9" ht="14.7" thickBot="1" x14ac:dyDescent="0.6">
      <c r="A119" s="91" t="s">
        <v>841</v>
      </c>
      <c r="B119" s="92">
        <f>Parts!I6*1000</f>
        <v>50000</v>
      </c>
      <c r="C119" s="92"/>
      <c r="D119" s="92">
        <f>Fsw</f>
        <v>300000</v>
      </c>
      <c r="E119" s="93">
        <f>IF(B119&lt;D119,1,0)</f>
        <v>1</v>
      </c>
    </row>
    <row r="120" spans="1:9" ht="14.7" thickBot="1" x14ac:dyDescent="0.6">
      <c r="A120" s="104" t="s">
        <v>842</v>
      </c>
      <c r="B120" s="106">
        <f>Parts!J6*1000</f>
        <v>1000000</v>
      </c>
      <c r="C120" s="106"/>
      <c r="D120" s="106">
        <f>Fsw</f>
        <v>300000</v>
      </c>
      <c r="E120" s="108">
        <f>IF(B120&gt;D120,1,0)</f>
        <v>1</v>
      </c>
      <c r="F120">
        <f>PRODUCT(E115:E120)</f>
        <v>0</v>
      </c>
      <c r="G120" s="518" t="s">
        <v>844</v>
      </c>
      <c r="H120" s="519"/>
      <c r="I120" s="249">
        <f>IF(SUM(F96,F104,F112,F120)&gt;=1,1,0)</f>
        <v>1</v>
      </c>
    </row>
  </sheetData>
  <mergeCells count="18">
    <mergeCell ref="CF2:CK2"/>
    <mergeCell ref="BX2:CE2"/>
    <mergeCell ref="CL2:CR2"/>
    <mergeCell ref="CS2:CU2"/>
    <mergeCell ref="A62:C62"/>
    <mergeCell ref="BS2:BW2"/>
    <mergeCell ref="A39:C39"/>
    <mergeCell ref="A54:C54"/>
    <mergeCell ref="A6:B6"/>
    <mergeCell ref="A4:B4"/>
    <mergeCell ref="A11:B11"/>
    <mergeCell ref="A24:B24"/>
    <mergeCell ref="A30:B30"/>
    <mergeCell ref="A89:E89"/>
    <mergeCell ref="A97:E97"/>
    <mergeCell ref="A105:E105"/>
    <mergeCell ref="A113:E113"/>
    <mergeCell ref="G120:H120"/>
  </mergeCells>
  <conditionalFormatting sqref="AV4:BD54">
    <cfRule type="expression" dxfId="19" priority="1">
      <formula>MOD(ROW(),2)=1</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9"/>
  <sheetViews>
    <sheetView tabSelected="1" zoomScale="85" zoomScaleNormal="85" workbookViewId="0">
      <selection activeCell="B94" sqref="B94"/>
    </sheetView>
  </sheetViews>
  <sheetFormatPr defaultColWidth="9.15625" defaultRowHeight="14.4" x14ac:dyDescent="0.55000000000000004"/>
  <cols>
    <col min="1" max="1" width="24.83984375" style="297" bestFit="1" customWidth="1"/>
    <col min="2" max="2" width="12" style="297" bestFit="1" customWidth="1"/>
    <col min="3" max="3" width="4.15625" style="297" bestFit="1" customWidth="1"/>
    <col min="4" max="7" width="9.15625" style="297"/>
    <col min="8" max="8" width="9" style="297" customWidth="1"/>
    <col min="9" max="12" width="9.15625" style="297"/>
    <col min="13" max="13" width="12.41796875" style="297" customWidth="1"/>
    <col min="14" max="16384" width="9.15625" style="297"/>
  </cols>
  <sheetData>
    <row r="1" spans="1:26" s="496" customFormat="1" x14ac:dyDescent="0.55000000000000004">
      <c r="A1" s="496" t="s">
        <v>957</v>
      </c>
    </row>
    <row r="2" spans="1:26" s="496" customFormat="1" x14ac:dyDescent="0.55000000000000004"/>
    <row r="3" spans="1:26" ht="15" x14ac:dyDescent="0.25">
      <c r="L3" s="340"/>
      <c r="M3" s="340"/>
      <c r="N3" s="340"/>
      <c r="O3" s="340"/>
      <c r="P3" s="340"/>
      <c r="Q3" s="340"/>
      <c r="R3" s="340"/>
      <c r="S3" s="340"/>
      <c r="T3" s="340"/>
      <c r="U3" s="340"/>
      <c r="V3" s="340"/>
      <c r="W3" s="340"/>
      <c r="X3" s="340"/>
      <c r="Y3" s="340"/>
      <c r="Z3" s="340"/>
    </row>
    <row r="4" spans="1:26" ht="15" x14ac:dyDescent="0.25">
      <c r="L4" s="340"/>
      <c r="M4" s="340" t="s">
        <v>805</v>
      </c>
      <c r="N4" s="340"/>
      <c r="O4" s="340"/>
      <c r="P4" s="340"/>
      <c r="Q4" s="340"/>
      <c r="R4" s="340"/>
      <c r="S4" s="340"/>
      <c r="T4" s="340" t="s">
        <v>807</v>
      </c>
      <c r="U4" s="340"/>
      <c r="V4" s="340"/>
      <c r="W4" s="340"/>
      <c r="X4" s="340"/>
      <c r="Y4" s="340"/>
      <c r="Z4" s="340"/>
    </row>
    <row r="5" spans="1:26" ht="19.5" thickBot="1" x14ac:dyDescent="0.35">
      <c r="G5" s="462" t="s">
        <v>868</v>
      </c>
      <c r="H5" s="462"/>
      <c r="I5" s="462"/>
      <c r="L5" s="340"/>
      <c r="M5" s="426" t="s">
        <v>806</v>
      </c>
      <c r="N5" s="426" t="s">
        <v>802</v>
      </c>
      <c r="O5" s="426"/>
      <c r="P5" s="426"/>
      <c r="Q5" s="426"/>
      <c r="R5" s="426"/>
      <c r="S5" s="340"/>
      <c r="T5" s="340"/>
      <c r="U5" s="340"/>
      <c r="V5" s="340"/>
      <c r="W5" s="340"/>
      <c r="X5" s="340"/>
      <c r="Y5" s="340"/>
      <c r="Z5" s="340"/>
    </row>
    <row r="6" spans="1:26" ht="15.75" thickBot="1" x14ac:dyDescent="0.3">
      <c r="G6" s="301"/>
      <c r="H6" s="297" t="s">
        <v>867</v>
      </c>
      <c r="L6" s="340"/>
      <c r="M6" s="426" t="s">
        <v>808</v>
      </c>
      <c r="N6" s="427" t="s">
        <v>809</v>
      </c>
      <c r="O6" s="426"/>
      <c r="P6" s="426"/>
      <c r="Q6" s="426"/>
      <c r="R6" s="426"/>
      <c r="S6" s="340"/>
      <c r="T6" s="340"/>
      <c r="U6" s="340"/>
      <c r="V6" s="340"/>
      <c r="W6" s="340"/>
      <c r="X6" s="340"/>
      <c r="Y6" s="340"/>
      <c r="Z6" s="340"/>
    </row>
    <row r="7" spans="1:26" ht="15.75" thickBot="1" x14ac:dyDescent="0.3">
      <c r="G7" s="302"/>
      <c r="H7" s="297" t="s">
        <v>869</v>
      </c>
      <c r="L7" s="340"/>
      <c r="M7" s="340"/>
      <c r="N7" s="340"/>
      <c r="O7" s="340"/>
      <c r="P7" s="340"/>
      <c r="Q7" s="340"/>
      <c r="R7" s="340"/>
      <c r="S7" s="340"/>
      <c r="T7" s="340"/>
      <c r="U7" s="340"/>
      <c r="V7" s="340"/>
      <c r="W7" s="340"/>
      <c r="X7" s="340"/>
      <c r="Y7" s="340"/>
      <c r="Z7" s="340"/>
    </row>
    <row r="8" spans="1:26" ht="15.75" thickBot="1" x14ac:dyDescent="0.3">
      <c r="G8" s="303"/>
      <c r="H8" s="297" t="s">
        <v>942</v>
      </c>
      <c r="L8" s="340"/>
      <c r="M8" s="340"/>
      <c r="N8" s="340"/>
      <c r="O8" s="340"/>
      <c r="P8" s="340"/>
      <c r="Q8" s="340"/>
      <c r="R8" s="340"/>
      <c r="S8" s="340"/>
      <c r="T8" s="340"/>
      <c r="U8" s="340"/>
      <c r="V8" s="340"/>
      <c r="W8" s="340"/>
      <c r="X8" s="340"/>
      <c r="Y8" s="340"/>
      <c r="Z8" s="340"/>
    </row>
    <row r="9" spans="1:26" ht="15" x14ac:dyDescent="0.25">
      <c r="L9" s="340"/>
      <c r="M9" s="340"/>
      <c r="N9" s="340"/>
      <c r="O9" s="340"/>
      <c r="P9" s="340"/>
      <c r="Q9" s="340"/>
      <c r="R9" s="340"/>
      <c r="S9" s="340"/>
      <c r="T9" s="340"/>
      <c r="U9" s="340"/>
      <c r="V9" s="340"/>
      <c r="W9" s="340"/>
      <c r="X9" s="340"/>
      <c r="Y9" s="340"/>
      <c r="Z9" s="340"/>
    </row>
    <row r="13" spans="1:26" ht="15.75" thickBot="1" x14ac:dyDescent="0.3"/>
    <row r="14" spans="1:26" ht="19.5" thickBot="1" x14ac:dyDescent="0.35">
      <c r="A14" s="497" t="s">
        <v>916</v>
      </c>
      <c r="B14" s="498"/>
      <c r="C14" s="498"/>
      <c r="D14" s="498"/>
      <c r="E14" s="498"/>
      <c r="F14" s="498"/>
      <c r="G14" s="498"/>
      <c r="H14" s="499"/>
    </row>
    <row r="15" spans="1:26" ht="15.75" thickBot="1" x14ac:dyDescent="0.3">
      <c r="A15" s="347"/>
      <c r="B15" s="349" t="s">
        <v>945</v>
      </c>
      <c r="C15" s="349"/>
      <c r="D15" s="349"/>
      <c r="E15" s="349" t="s">
        <v>24</v>
      </c>
      <c r="F15" s="349"/>
      <c r="G15" s="526" t="s">
        <v>447</v>
      </c>
      <c r="H15" s="527"/>
    </row>
    <row r="16" spans="1:26" x14ac:dyDescent="0.55000000000000004">
      <c r="A16" s="411" t="s">
        <v>13</v>
      </c>
      <c r="B16" s="389">
        <f>IF(Ns1_FlyBB_Calc&lt;&gt;0,Ns1_FlyBB_Calc/Np,0)</f>
        <v>1.02</v>
      </c>
      <c r="C16" s="315"/>
      <c r="D16" s="411" t="s">
        <v>13</v>
      </c>
      <c r="E16" s="285">
        <v>1</v>
      </c>
      <c r="F16" s="315"/>
      <c r="G16" s="285">
        <v>20</v>
      </c>
      <c r="H16" s="299" t="s">
        <v>422</v>
      </c>
      <c r="L16" s="315"/>
    </row>
    <row r="17" spans="1:18" x14ac:dyDescent="0.55000000000000004">
      <c r="A17" s="354" t="s">
        <v>14</v>
      </c>
      <c r="B17" s="355">
        <f>IF(Ns2_FlyBB_Calc&lt;&gt;0,Ns2_FlyBB_Calc/Np,0)</f>
        <v>0</v>
      </c>
      <c r="C17" s="315"/>
      <c r="D17" s="315" t="s">
        <v>14</v>
      </c>
      <c r="E17" s="286">
        <v>0</v>
      </c>
      <c r="F17" s="315"/>
      <c r="G17" s="286">
        <v>20</v>
      </c>
      <c r="H17" s="299" t="s">
        <v>422</v>
      </c>
      <c r="L17" s="315"/>
    </row>
    <row r="18" spans="1:18" x14ac:dyDescent="0.55000000000000004">
      <c r="A18" s="354" t="s">
        <v>15</v>
      </c>
      <c r="B18" s="355">
        <f>IF(Ns3_FlyBB_Calc&lt;&gt;0,Ns3_FlyBB_Calc/Np,0)</f>
        <v>0</v>
      </c>
      <c r="C18" s="315"/>
      <c r="D18" s="315" t="s">
        <v>15</v>
      </c>
      <c r="E18" s="286">
        <v>0</v>
      </c>
      <c r="F18" s="315"/>
      <c r="G18" s="286">
        <v>0</v>
      </c>
      <c r="H18" s="299" t="s">
        <v>422</v>
      </c>
      <c r="L18" s="315"/>
      <c r="M18" s="514"/>
      <c r="N18" s="514"/>
      <c r="O18" s="514"/>
      <c r="P18" s="514"/>
      <c r="Q18" s="514"/>
      <c r="R18" s="514"/>
    </row>
    <row r="19" spans="1:18" x14ac:dyDescent="0.55000000000000004">
      <c r="A19" s="354" t="s">
        <v>16</v>
      </c>
      <c r="B19" s="355">
        <f>IF(Ns4_FlyBB_Calc&lt;&gt;0,Ns4_FlyBB_Calc/Np,0)</f>
        <v>0</v>
      </c>
      <c r="C19" s="315"/>
      <c r="D19" s="315" t="s">
        <v>16</v>
      </c>
      <c r="E19" s="286">
        <v>0</v>
      </c>
      <c r="F19" s="315"/>
      <c r="G19" s="286">
        <v>0</v>
      </c>
      <c r="H19" s="299" t="s">
        <v>422</v>
      </c>
      <c r="L19" s="315"/>
      <c r="M19" s="315"/>
      <c r="N19" s="315"/>
      <c r="O19" s="315"/>
      <c r="P19" s="315"/>
      <c r="Q19" s="315"/>
      <c r="R19" s="315"/>
    </row>
    <row r="20" spans="1:18" x14ac:dyDescent="0.55000000000000004">
      <c r="A20" s="354" t="s">
        <v>17</v>
      </c>
      <c r="B20" s="355">
        <f>IF(Ns5_FlyBB_Calc&lt;&gt;0,Ns5_FlyBB_Calc/Np,0)</f>
        <v>0</v>
      </c>
      <c r="C20" s="315"/>
      <c r="D20" s="315" t="s">
        <v>17</v>
      </c>
      <c r="E20" s="286">
        <v>0</v>
      </c>
      <c r="F20" s="315"/>
      <c r="G20" s="286">
        <v>0</v>
      </c>
      <c r="H20" s="299" t="s">
        <v>422</v>
      </c>
      <c r="L20" s="315"/>
      <c r="M20" s="315"/>
      <c r="N20" s="315"/>
      <c r="O20" s="315"/>
      <c r="P20" s="315"/>
      <c r="Q20" s="315"/>
      <c r="R20" s="315"/>
    </row>
    <row r="21" spans="1:18" ht="14.7" thickBot="1" x14ac:dyDescent="0.6">
      <c r="A21" s="356" t="s">
        <v>18</v>
      </c>
      <c r="B21" s="357">
        <f>IF(Ns6_FlyBB_Calc&lt;&gt;0,Ns6_FlyBB_Calc/Np,0)</f>
        <v>0</v>
      </c>
      <c r="C21" s="358"/>
      <c r="D21" s="358" t="s">
        <v>18</v>
      </c>
      <c r="E21" s="290">
        <v>0</v>
      </c>
      <c r="F21" s="358"/>
      <c r="G21" s="290">
        <v>0</v>
      </c>
      <c r="H21" s="305" t="s">
        <v>422</v>
      </c>
      <c r="L21" s="315"/>
      <c r="M21" s="315"/>
      <c r="N21" s="315"/>
      <c r="O21" s="315"/>
      <c r="P21" s="315"/>
      <c r="Q21" s="315"/>
      <c r="R21" s="315"/>
    </row>
    <row r="22" spans="1:18" ht="15.75" thickBot="1" x14ac:dyDescent="0.3">
      <c r="L22" s="315"/>
      <c r="M22" s="315"/>
      <c r="N22" s="315"/>
      <c r="O22" s="315"/>
      <c r="P22" s="315"/>
      <c r="Q22" s="315"/>
      <c r="R22" s="315"/>
    </row>
    <row r="23" spans="1:18" ht="19.5" thickBot="1" x14ac:dyDescent="0.35">
      <c r="A23" s="497" t="s">
        <v>776</v>
      </c>
      <c r="B23" s="498"/>
      <c r="C23" s="499"/>
      <c r="E23" s="315"/>
      <c r="F23" s="315"/>
      <c r="G23" s="315"/>
      <c r="H23" s="315"/>
      <c r="I23" s="315"/>
      <c r="J23" s="315"/>
      <c r="L23" s="315"/>
      <c r="M23" s="315"/>
      <c r="N23" s="315"/>
      <c r="O23" s="315"/>
      <c r="P23" s="315"/>
      <c r="Q23" s="315"/>
      <c r="R23" s="315"/>
    </row>
    <row r="24" spans="1:18" x14ac:dyDescent="0.55000000000000004">
      <c r="A24" s="351" t="s">
        <v>61</v>
      </c>
      <c r="B24" s="359">
        <f>Lcalc_FBB_VinNom*(10^6)</f>
        <v>153.84615384615384</v>
      </c>
      <c r="C24" s="361" t="s">
        <v>952</v>
      </c>
      <c r="E24" s="315"/>
      <c r="F24" s="315"/>
      <c r="G24" s="315"/>
      <c r="H24" s="315"/>
      <c r="I24" s="315"/>
      <c r="J24" s="315"/>
      <c r="L24" s="315"/>
      <c r="M24" s="315"/>
      <c r="N24" s="315"/>
      <c r="O24" s="315"/>
      <c r="P24" s="315"/>
      <c r="Q24" s="315"/>
      <c r="R24" s="315"/>
    </row>
    <row r="25" spans="1:18" x14ac:dyDescent="0.55000000000000004">
      <c r="A25" s="354" t="s">
        <v>46</v>
      </c>
      <c r="B25" s="286">
        <v>150</v>
      </c>
      <c r="C25" s="362" t="s">
        <v>952</v>
      </c>
      <c r="E25" s="315"/>
      <c r="F25" s="315"/>
      <c r="G25" s="315"/>
      <c r="H25" s="315"/>
      <c r="I25" s="315"/>
      <c r="J25" s="315"/>
      <c r="L25" s="315"/>
      <c r="M25" s="315"/>
      <c r="N25" s="315"/>
      <c r="O25" s="315"/>
      <c r="P25" s="315"/>
      <c r="Q25" s="315"/>
      <c r="R25" s="315"/>
    </row>
    <row r="26" spans="1:18" ht="14.7" thickBot="1" x14ac:dyDescent="0.6">
      <c r="A26" s="356" t="s">
        <v>447</v>
      </c>
      <c r="B26" s="290">
        <v>70</v>
      </c>
      <c r="C26" s="363" t="s">
        <v>448</v>
      </c>
      <c r="E26" s="315"/>
      <c r="F26" s="315"/>
      <c r="G26" s="315"/>
      <c r="H26" s="315"/>
      <c r="I26" s="315"/>
      <c r="J26" s="315"/>
      <c r="L26" s="315"/>
      <c r="M26" s="315"/>
      <c r="N26" s="315"/>
      <c r="O26" s="315"/>
      <c r="P26" s="315"/>
      <c r="Q26" s="315"/>
      <c r="R26" s="315"/>
    </row>
    <row r="27" spans="1:18" ht="15.75" thickBot="1" x14ac:dyDescent="0.3">
      <c r="E27" s="315"/>
      <c r="F27" s="315"/>
      <c r="G27" s="315"/>
      <c r="H27" s="315"/>
      <c r="I27" s="315"/>
      <c r="J27" s="315"/>
      <c r="L27" s="315"/>
      <c r="M27" s="315"/>
      <c r="N27" s="315"/>
      <c r="O27" s="315"/>
      <c r="P27" s="315"/>
      <c r="Q27" s="315"/>
      <c r="R27" s="315"/>
    </row>
    <row r="28" spans="1:18" ht="19.5" thickBot="1" x14ac:dyDescent="0.35">
      <c r="A28" s="497" t="s">
        <v>958</v>
      </c>
      <c r="B28" s="498"/>
      <c r="C28" s="499"/>
      <c r="E28" s="315"/>
      <c r="F28" s="315"/>
      <c r="G28" s="315"/>
      <c r="H28" s="315"/>
      <c r="I28" s="315"/>
      <c r="J28" s="315"/>
      <c r="L28" s="315"/>
      <c r="M28" s="315"/>
      <c r="N28" s="315"/>
      <c r="O28" s="315"/>
      <c r="P28" s="315"/>
      <c r="Q28" s="315"/>
      <c r="R28" s="315"/>
    </row>
    <row r="29" spans="1:18" ht="15" x14ac:dyDescent="0.25">
      <c r="A29" s="351" t="s">
        <v>89</v>
      </c>
      <c r="B29" s="352">
        <f>MAX('Fly-BB_Calc'!T4:T54)</f>
        <v>1.7976190476190477</v>
      </c>
      <c r="C29" s="361" t="s">
        <v>6</v>
      </c>
      <c r="E29" s="315"/>
      <c r="F29" s="315"/>
      <c r="G29" s="315"/>
      <c r="H29" s="315"/>
      <c r="I29" s="315"/>
      <c r="J29" s="315"/>
      <c r="L29" s="315"/>
      <c r="M29" s="315"/>
      <c r="N29" s="315"/>
      <c r="O29" s="315"/>
      <c r="P29" s="315"/>
      <c r="Q29" s="315"/>
      <c r="R29" s="315"/>
    </row>
    <row r="30" spans="1:18" ht="15" x14ac:dyDescent="0.25">
      <c r="A30" s="354" t="s">
        <v>90</v>
      </c>
      <c r="B30" s="355">
        <f>MAX('Fly-BB_Calc'!S4:S54)</f>
        <v>0.26666666666666672</v>
      </c>
      <c r="C30" s="362" t="s">
        <v>6</v>
      </c>
      <c r="E30" s="315"/>
      <c r="F30" s="315"/>
      <c r="G30" s="315"/>
      <c r="H30" s="315"/>
      <c r="I30" s="315"/>
      <c r="J30" s="315"/>
    </row>
    <row r="31" spans="1:18" ht="15.75" thickBot="1" x14ac:dyDescent="0.3">
      <c r="A31" s="356" t="s">
        <v>91</v>
      </c>
      <c r="B31" s="357">
        <f>MAX('Fly-BB_Calc'!V4:V54)</f>
        <v>1.4792024535198292</v>
      </c>
      <c r="C31" s="363" t="s">
        <v>6</v>
      </c>
      <c r="E31" s="315"/>
      <c r="F31" s="315"/>
      <c r="G31" s="315"/>
      <c r="H31" s="315"/>
      <c r="I31" s="315"/>
      <c r="J31" s="315"/>
    </row>
    <row r="32" spans="1:18" ht="15.75" thickBot="1" x14ac:dyDescent="0.3">
      <c r="E32" s="315"/>
      <c r="F32" s="315"/>
      <c r="G32" s="315"/>
      <c r="H32" s="315"/>
      <c r="I32" s="315"/>
      <c r="J32" s="315"/>
    </row>
    <row r="33" spans="1:10" ht="19.5" thickBot="1" x14ac:dyDescent="0.35">
      <c r="A33" s="497" t="s">
        <v>615</v>
      </c>
      <c r="B33" s="501"/>
      <c r="C33" s="373"/>
      <c r="E33" s="315"/>
      <c r="F33" s="315"/>
      <c r="G33" s="315"/>
      <c r="H33" s="315"/>
      <c r="I33" s="315"/>
      <c r="J33" s="315"/>
    </row>
    <row r="34" spans="1:10" ht="15" x14ac:dyDescent="0.25">
      <c r="A34" s="351" t="s">
        <v>108</v>
      </c>
      <c r="B34" s="328">
        <f>'Fly-BB_Calc'!F105</f>
        <v>0</v>
      </c>
      <c r="C34" s="374"/>
      <c r="E34" s="315"/>
      <c r="F34" s="315"/>
      <c r="G34" s="315"/>
      <c r="H34" s="315"/>
      <c r="I34" s="315"/>
      <c r="J34" s="315"/>
    </row>
    <row r="35" spans="1:10" ht="15" x14ac:dyDescent="0.25">
      <c r="A35" s="354" t="s">
        <v>109</v>
      </c>
      <c r="B35" s="329">
        <f>'Fly-BB_Calc'!F113</f>
        <v>0</v>
      </c>
      <c r="C35" s="374"/>
    </row>
    <row r="36" spans="1:10" ht="15" x14ac:dyDescent="0.25">
      <c r="A36" s="354" t="s">
        <v>110</v>
      </c>
      <c r="B36" s="329">
        <f>'Fly-BB_Calc'!F121</f>
        <v>0</v>
      </c>
      <c r="C36" s="374"/>
    </row>
    <row r="37" spans="1:10" ht="15" x14ac:dyDescent="0.25">
      <c r="A37" s="354" t="s">
        <v>514</v>
      </c>
      <c r="B37" s="329">
        <f>'Fly-BB_Calc'!F97</f>
        <v>1</v>
      </c>
      <c r="C37" s="374"/>
    </row>
    <row r="38" spans="1:10" ht="15.75" thickBot="1" x14ac:dyDescent="0.3">
      <c r="A38" s="365" t="s">
        <v>517</v>
      </c>
      <c r="B38" s="404" t="s">
        <v>514</v>
      </c>
      <c r="C38" s="373"/>
    </row>
    <row r="81" spans="1:3" ht="15.75" thickBot="1" x14ac:dyDescent="0.3"/>
    <row r="82" spans="1:3" ht="19.5" thickBot="1" x14ac:dyDescent="0.35">
      <c r="A82" s="497" t="s">
        <v>630</v>
      </c>
      <c r="B82" s="498"/>
      <c r="C82" s="499"/>
    </row>
    <row r="83" spans="1:3" ht="15" x14ac:dyDescent="0.25">
      <c r="A83" s="415" t="s">
        <v>777</v>
      </c>
      <c r="B83" s="383">
        <f>'Fly-BB_Calc'!B54</f>
        <v>75</v>
      </c>
      <c r="C83" s="376" t="s">
        <v>5</v>
      </c>
    </row>
    <row r="84" spans="1:3" ht="15" x14ac:dyDescent="0.25">
      <c r="A84" s="354" t="s">
        <v>778</v>
      </c>
      <c r="B84" s="324">
        <f>'Fly-BB_Calc'!B55</f>
        <v>0</v>
      </c>
      <c r="C84" s="362" t="s">
        <v>5</v>
      </c>
    </row>
    <row r="85" spans="1:3" ht="15" x14ac:dyDescent="0.25">
      <c r="A85" s="354" t="s">
        <v>779</v>
      </c>
      <c r="B85" s="324">
        <f>'Fly-BB_Calc'!B56</f>
        <v>0</v>
      </c>
      <c r="C85" s="362" t="s">
        <v>5</v>
      </c>
    </row>
    <row r="86" spans="1:3" ht="15" x14ac:dyDescent="0.25">
      <c r="A86" s="354" t="s">
        <v>780</v>
      </c>
      <c r="B86" s="324">
        <f>'Fly-BB_Calc'!B57</f>
        <v>0</v>
      </c>
      <c r="C86" s="362" t="s">
        <v>5</v>
      </c>
    </row>
    <row r="87" spans="1:3" ht="15" x14ac:dyDescent="0.25">
      <c r="A87" s="354" t="s">
        <v>781</v>
      </c>
      <c r="B87" s="324">
        <f>'Fly-BB_Calc'!B58</f>
        <v>0</v>
      </c>
      <c r="C87" s="362" t="s">
        <v>5</v>
      </c>
    </row>
    <row r="88" spans="1:3" ht="15.75" thickBot="1" x14ac:dyDescent="0.3">
      <c r="A88" s="356" t="s">
        <v>782</v>
      </c>
      <c r="B88" s="326">
        <f>'Fly-BB_Calc'!B59</f>
        <v>0</v>
      </c>
      <c r="C88" s="363" t="s">
        <v>5</v>
      </c>
    </row>
    <row r="90" spans="1:3" ht="15.75" thickBot="1" x14ac:dyDescent="0.3"/>
    <row r="91" spans="1:3" ht="19.5" thickBot="1" x14ac:dyDescent="0.35">
      <c r="A91" s="497" t="s">
        <v>959</v>
      </c>
      <c r="B91" s="498"/>
      <c r="C91" s="499"/>
    </row>
    <row r="92" spans="1:3" x14ac:dyDescent="0.55000000000000004">
      <c r="A92" s="366" t="s">
        <v>783</v>
      </c>
      <c r="B92" s="359">
        <f>'Fly-BB_Calc'!B39*(10^6)</f>
        <v>83.333333333333329</v>
      </c>
      <c r="C92" s="361" t="s">
        <v>951</v>
      </c>
    </row>
    <row r="93" spans="1:3" x14ac:dyDescent="0.55000000000000004">
      <c r="A93" s="367" t="s">
        <v>784</v>
      </c>
      <c r="B93" s="286">
        <v>88</v>
      </c>
      <c r="C93" s="362" t="s">
        <v>951</v>
      </c>
    </row>
    <row r="94" spans="1:3" ht="14.7" thickBot="1" x14ac:dyDescent="0.6">
      <c r="A94" s="368" t="s">
        <v>785</v>
      </c>
      <c r="B94" s="371">
        <v>4</v>
      </c>
      <c r="C94" s="363" t="s">
        <v>422</v>
      </c>
    </row>
    <row r="95" spans="1:3" x14ac:dyDescent="0.55000000000000004">
      <c r="A95" s="411" t="s">
        <v>298</v>
      </c>
      <c r="B95" s="412">
        <f>'Fly-BB_Calc'!B41*(10^6)</f>
        <v>23.80952380952381</v>
      </c>
      <c r="C95" s="361" t="s">
        <v>951</v>
      </c>
    </row>
    <row r="96" spans="1:3" x14ac:dyDescent="0.55000000000000004">
      <c r="A96" s="411" t="s">
        <v>299</v>
      </c>
      <c r="B96" s="403">
        <v>44</v>
      </c>
      <c r="C96" s="362" t="s">
        <v>951</v>
      </c>
    </row>
    <row r="97" spans="1:3" ht="14.7" thickBot="1" x14ac:dyDescent="0.6">
      <c r="A97" s="411" t="s">
        <v>690</v>
      </c>
      <c r="B97" s="413">
        <v>5</v>
      </c>
      <c r="C97" s="363" t="s">
        <v>422</v>
      </c>
    </row>
    <row r="98" spans="1:3" x14ac:dyDescent="0.55000000000000004">
      <c r="A98" s="366" t="s">
        <v>300</v>
      </c>
      <c r="B98" s="359">
        <f>'Fly-BB_Calc'!B43*(10^6)</f>
        <v>0</v>
      </c>
      <c r="C98" s="361" t="s">
        <v>951</v>
      </c>
    </row>
    <row r="99" spans="1:3" x14ac:dyDescent="0.55000000000000004">
      <c r="A99" s="367" t="s">
        <v>301</v>
      </c>
      <c r="B99" s="286">
        <v>20</v>
      </c>
      <c r="C99" s="362" t="s">
        <v>951</v>
      </c>
    </row>
    <row r="100" spans="1:3" ht="14.7" thickBot="1" x14ac:dyDescent="0.6">
      <c r="A100" s="368" t="s">
        <v>691</v>
      </c>
      <c r="B100" s="371">
        <v>5</v>
      </c>
      <c r="C100" s="363" t="s">
        <v>422</v>
      </c>
    </row>
    <row r="101" spans="1:3" x14ac:dyDescent="0.55000000000000004">
      <c r="A101" s="366" t="s">
        <v>302</v>
      </c>
      <c r="B101" s="359">
        <f>'Fly-BB_Calc'!B45*(10^6)</f>
        <v>0</v>
      </c>
      <c r="C101" s="361" t="s">
        <v>951</v>
      </c>
    </row>
    <row r="102" spans="1:3" x14ac:dyDescent="0.55000000000000004">
      <c r="A102" s="367" t="s">
        <v>303</v>
      </c>
      <c r="B102" s="286">
        <v>0</v>
      </c>
      <c r="C102" s="362" t="s">
        <v>951</v>
      </c>
    </row>
    <row r="103" spans="1:3" ht="14.7" thickBot="1" x14ac:dyDescent="0.6">
      <c r="A103" s="368" t="s">
        <v>692</v>
      </c>
      <c r="B103" s="371">
        <v>0</v>
      </c>
      <c r="C103" s="363" t="s">
        <v>422</v>
      </c>
    </row>
    <row r="104" spans="1:3" x14ac:dyDescent="0.55000000000000004">
      <c r="A104" s="366" t="s">
        <v>304</v>
      </c>
      <c r="B104" s="359">
        <f>'Fly-BB_Calc'!B47*(10^6)</f>
        <v>0</v>
      </c>
      <c r="C104" s="361" t="s">
        <v>951</v>
      </c>
    </row>
    <row r="105" spans="1:3" x14ac:dyDescent="0.55000000000000004">
      <c r="A105" s="367" t="s">
        <v>305</v>
      </c>
      <c r="B105" s="286">
        <v>0</v>
      </c>
      <c r="C105" s="362" t="s">
        <v>951</v>
      </c>
    </row>
    <row r="106" spans="1:3" ht="14.7" thickBot="1" x14ac:dyDescent="0.6">
      <c r="A106" s="368" t="s">
        <v>693</v>
      </c>
      <c r="B106" s="371"/>
      <c r="C106" s="363" t="s">
        <v>422</v>
      </c>
    </row>
    <row r="107" spans="1:3" x14ac:dyDescent="0.55000000000000004">
      <c r="A107" s="366" t="s">
        <v>306</v>
      </c>
      <c r="B107" s="359">
        <f>'Fly-BB_Calc'!B49*(10^6)</f>
        <v>0</v>
      </c>
      <c r="C107" s="361" t="s">
        <v>951</v>
      </c>
    </row>
    <row r="108" spans="1:3" x14ac:dyDescent="0.55000000000000004">
      <c r="A108" s="367" t="s">
        <v>307</v>
      </c>
      <c r="B108" s="286">
        <v>0</v>
      </c>
      <c r="C108" s="362" t="s">
        <v>951</v>
      </c>
    </row>
    <row r="109" spans="1:3" ht="14.7" thickBot="1" x14ac:dyDescent="0.6">
      <c r="A109" s="368" t="s">
        <v>694</v>
      </c>
      <c r="B109" s="371">
        <v>0</v>
      </c>
      <c r="C109" s="363" t="s">
        <v>422</v>
      </c>
    </row>
    <row r="110" spans="1:3" x14ac:dyDescent="0.55000000000000004">
      <c r="A110" s="367" t="s">
        <v>308</v>
      </c>
      <c r="B110" s="375">
        <f>'Fly-BB_Calc'!B51*(10^6)</f>
        <v>0</v>
      </c>
      <c r="C110" s="376" t="s">
        <v>951</v>
      </c>
    </row>
    <row r="111" spans="1:3" x14ac:dyDescent="0.55000000000000004">
      <c r="A111" s="367" t="s">
        <v>309</v>
      </c>
      <c r="B111" s="286">
        <v>0</v>
      </c>
      <c r="C111" s="362" t="s">
        <v>951</v>
      </c>
    </row>
    <row r="112" spans="1:3" ht="14.7" thickBot="1" x14ac:dyDescent="0.6">
      <c r="A112" s="368" t="s">
        <v>695</v>
      </c>
      <c r="B112" s="371">
        <v>0</v>
      </c>
      <c r="C112" s="363" t="s">
        <v>422</v>
      </c>
    </row>
    <row r="116" spans="1:3" ht="15.75" thickBot="1" x14ac:dyDescent="0.3">
      <c r="A116" s="414"/>
      <c r="B116" s="414"/>
      <c r="C116" s="414"/>
    </row>
    <row r="117" spans="1:3" ht="19.5" thickBot="1" x14ac:dyDescent="0.35">
      <c r="A117" s="497" t="s">
        <v>494</v>
      </c>
      <c r="B117" s="498"/>
      <c r="C117" s="499"/>
    </row>
    <row r="118" spans="1:3" ht="15.75" thickBot="1" x14ac:dyDescent="0.3">
      <c r="A118" s="508" t="s">
        <v>786</v>
      </c>
      <c r="B118" s="511"/>
      <c r="C118" s="512"/>
    </row>
    <row r="119" spans="1:3" ht="15" x14ac:dyDescent="0.25">
      <c r="A119" s="351" t="s">
        <v>727</v>
      </c>
      <c r="B119" s="384">
        <f>'Fly-BB_Calc'!B67</f>
        <v>2</v>
      </c>
      <c r="C119" s="361" t="s">
        <v>5</v>
      </c>
    </row>
    <row r="120" spans="1:3" x14ac:dyDescent="0.55000000000000004">
      <c r="A120" s="354" t="s">
        <v>787</v>
      </c>
      <c r="B120" s="394">
        <v>20</v>
      </c>
      <c r="C120" s="362" t="s">
        <v>474</v>
      </c>
    </row>
    <row r="121" spans="1:3" x14ac:dyDescent="0.55000000000000004">
      <c r="A121" s="354" t="s">
        <v>789</v>
      </c>
      <c r="B121" s="395">
        <f>((-B120*1000*B119)/(B119-ABS(VoutPri_FBB)))/1000</f>
        <v>3.0769230769230771</v>
      </c>
      <c r="C121" s="362" t="s">
        <v>474</v>
      </c>
    </row>
    <row r="122" spans="1:3" ht="14.7" thickBot="1" x14ac:dyDescent="0.6">
      <c r="A122" s="356" t="s">
        <v>790</v>
      </c>
      <c r="B122" s="396">
        <v>5.7140000000000004</v>
      </c>
      <c r="C122" s="363" t="s">
        <v>474</v>
      </c>
    </row>
    <row r="123" spans="1:3" ht="15.75" thickBot="1" x14ac:dyDescent="0.3">
      <c r="A123" s="508" t="s">
        <v>921</v>
      </c>
      <c r="B123" s="511"/>
      <c r="C123" s="512"/>
    </row>
    <row r="124" spans="1:3" ht="15" x14ac:dyDescent="0.25">
      <c r="A124" s="351" t="s">
        <v>791</v>
      </c>
      <c r="B124" s="397">
        <v>100</v>
      </c>
      <c r="C124" s="361" t="s">
        <v>445</v>
      </c>
    </row>
    <row r="125" spans="1:3" ht="15" x14ac:dyDescent="0.25">
      <c r="A125" s="354" t="s">
        <v>792</v>
      </c>
      <c r="B125" s="398">
        <f>((15*((B120*1000)+B122*1000))/(2*PI()*B120*100*B122*1000*Fsw))*(10^9)</f>
        <v>17.905627435531134</v>
      </c>
      <c r="C125" s="362" t="s">
        <v>445</v>
      </c>
    </row>
    <row r="126" spans="1:3" ht="15" x14ac:dyDescent="0.25">
      <c r="A126" s="354" t="s">
        <v>793</v>
      </c>
      <c r="B126" s="394">
        <v>17</v>
      </c>
      <c r="C126" s="362" t="s">
        <v>445</v>
      </c>
    </row>
    <row r="127" spans="1:3" x14ac:dyDescent="0.55000000000000004">
      <c r="A127" s="354" t="s">
        <v>794</v>
      </c>
      <c r="B127" s="395">
        <f>(((VinMin)*'Fly-BB_Calc'!B10)/((50*10^-3)*(B126*10^-9)))/1000</f>
        <v>16.806722689075631</v>
      </c>
      <c r="C127" s="362" t="s">
        <v>474</v>
      </c>
    </row>
    <row r="128" spans="1:3" x14ac:dyDescent="0.55000000000000004">
      <c r="A128" s="354" t="s">
        <v>795</v>
      </c>
      <c r="B128" s="394">
        <v>17</v>
      </c>
      <c r="C128" s="362" t="s">
        <v>730</v>
      </c>
    </row>
    <row r="129" spans="1:3" ht="15.75" thickBot="1" x14ac:dyDescent="0.3">
      <c r="A129" s="356" t="s">
        <v>796</v>
      </c>
      <c r="B129" s="399">
        <f>(((VinMin)*'Fly-BB_Calc'!B10)/((B128*10^3)*(B126*10^-9)))*1000</f>
        <v>49.431537320810691</v>
      </c>
      <c r="C129" s="363" t="s">
        <v>280</v>
      </c>
    </row>
  </sheetData>
  <sheetProtection password="E1A4" sheet="1" objects="1" scenarios="1"/>
  <mergeCells count="13">
    <mergeCell ref="A118:C118"/>
    <mergeCell ref="A123:C123"/>
    <mergeCell ref="A14:H14"/>
    <mergeCell ref="A1:XFD2"/>
    <mergeCell ref="M18:R18"/>
    <mergeCell ref="A23:C23"/>
    <mergeCell ref="A28:C28"/>
    <mergeCell ref="A91:C91"/>
    <mergeCell ref="G5:I5"/>
    <mergeCell ref="A33:B33"/>
    <mergeCell ref="G15:H15"/>
    <mergeCell ref="A82:C82"/>
    <mergeCell ref="A117:C117"/>
  </mergeCells>
  <conditionalFormatting sqref="B34:B37">
    <cfRule type="cellIs" dxfId="18" priority="1" operator="equal">
      <formula>1</formula>
    </cfRule>
    <cfRule type="cellIs" dxfId="17" priority="2" operator="equal">
      <formula>0</formula>
    </cfRule>
  </conditionalFormatting>
  <dataValidations count="1">
    <dataValidation type="list" showInputMessage="1" showErrorMessage="1" sqref="B38">
      <formula1>Fly_Buck_Parts</formula1>
    </dataValidation>
  </dataValidations>
  <hyperlinks>
    <hyperlink ref="N6"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32772" r:id="rId5">
          <objectPr defaultSize="0" autoPict="0" r:id="rId6">
            <anchor moveWithCells="1">
              <from>
                <xdr:col>0</xdr:col>
                <xdr:colOff>0</xdr:colOff>
                <xdr:row>2</xdr:row>
                <xdr:rowOff>0</xdr:rowOff>
              </from>
              <to>
                <xdr:col>4</xdr:col>
                <xdr:colOff>487680</xdr:colOff>
                <xdr:row>12</xdr:row>
                <xdr:rowOff>30480</xdr:rowOff>
              </to>
            </anchor>
          </objectPr>
        </oleObject>
      </mc:Choice>
      <mc:Fallback>
        <oleObject progId="Visio.Drawing.11" shapeId="32772" r:id="rId5"/>
      </mc:Fallback>
    </mc:AlternateContent>
    <mc:AlternateContent xmlns:mc="http://schemas.openxmlformats.org/markup-compatibility/2006">
      <mc:Choice Requires="x14">
        <oleObject progId="Visio.Drawing.11" shapeId="32773" r:id="rId7">
          <objectPr defaultSize="0" autoPict="0" r:id="rId8">
            <anchor moveWithCells="1">
              <from>
                <xdr:col>3</xdr:col>
                <xdr:colOff>400050</xdr:colOff>
                <xdr:row>117</xdr:row>
                <xdr:rowOff>190500</xdr:rowOff>
              </from>
              <to>
                <xdr:col>8</xdr:col>
                <xdr:colOff>220980</xdr:colOff>
                <xdr:row>127</xdr:row>
                <xdr:rowOff>95250</xdr:rowOff>
              </to>
            </anchor>
          </objectPr>
        </oleObject>
      </mc:Choice>
      <mc:Fallback>
        <oleObject progId="Visio.Drawing.11" shapeId="32773"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AK236"/>
  <sheetViews>
    <sheetView topLeftCell="A51" zoomScale="85" zoomScaleNormal="85" workbookViewId="0">
      <selection activeCell="C75" sqref="C75"/>
    </sheetView>
  </sheetViews>
  <sheetFormatPr defaultColWidth="9.15625" defaultRowHeight="14.4" x14ac:dyDescent="0.55000000000000004"/>
  <cols>
    <col min="1" max="1" width="26.41796875" style="297" customWidth="1"/>
    <col min="2" max="2" width="12.578125" style="297" bestFit="1" customWidth="1"/>
    <col min="3" max="3" width="4.26171875" style="297" customWidth="1"/>
    <col min="4" max="34" width="9.15625" style="297"/>
    <col min="35" max="35" width="32.15625" style="297" bestFit="1" customWidth="1"/>
    <col min="36" max="16384" width="9.15625" style="297"/>
  </cols>
  <sheetData>
    <row r="1" spans="1:12" s="496" customFormat="1" ht="15" customHeight="1" x14ac:dyDescent="0.55000000000000004">
      <c r="A1" s="496" t="s">
        <v>798</v>
      </c>
    </row>
    <row r="2" spans="1:12" s="496" customFormat="1" x14ac:dyDescent="0.55000000000000004"/>
    <row r="4" spans="1:12" ht="19.5" thickBot="1" x14ac:dyDescent="0.35">
      <c r="F4" s="462" t="s">
        <v>868</v>
      </c>
      <c r="G4" s="462"/>
      <c r="H4" s="462"/>
    </row>
    <row r="5" spans="1:12" ht="15.75" thickBot="1" x14ac:dyDescent="0.3">
      <c r="F5" s="301"/>
      <c r="G5" s="297" t="s">
        <v>867</v>
      </c>
    </row>
    <row r="6" spans="1:12" ht="15.75" thickBot="1" x14ac:dyDescent="0.3">
      <c r="F6" s="302"/>
      <c r="G6" s="297" t="s">
        <v>869</v>
      </c>
    </row>
    <row r="7" spans="1:12" ht="15.75" thickBot="1" x14ac:dyDescent="0.3">
      <c r="F7" s="303"/>
      <c r="G7" s="297" t="s">
        <v>942</v>
      </c>
    </row>
    <row r="13" spans="1:12" ht="15.75" thickBot="1" x14ac:dyDescent="0.3"/>
    <row r="14" spans="1:12" ht="19.5" thickBot="1" x14ac:dyDescent="0.35">
      <c r="A14" s="497" t="s">
        <v>916</v>
      </c>
      <c r="B14" s="498"/>
      <c r="C14" s="498"/>
      <c r="D14" s="498"/>
      <c r="E14" s="498"/>
      <c r="F14" s="498"/>
      <c r="G14" s="498"/>
      <c r="H14" s="499"/>
    </row>
    <row r="15" spans="1:12" ht="14.7" thickBot="1" x14ac:dyDescent="0.6">
      <c r="A15" s="347"/>
      <c r="B15" s="349" t="s">
        <v>945</v>
      </c>
      <c r="C15" s="349"/>
      <c r="D15" s="349"/>
      <c r="E15" s="349" t="s">
        <v>24</v>
      </c>
      <c r="F15" s="350"/>
      <c r="G15" s="408" t="s">
        <v>953</v>
      </c>
      <c r="H15" s="409"/>
    </row>
    <row r="16" spans="1:12" x14ac:dyDescent="0.55000000000000004">
      <c r="A16" s="416" t="s">
        <v>13</v>
      </c>
      <c r="B16" s="352">
        <f>IF(Ns1_FBack_Calc&lt;&gt;0,Ns1_FBack_Calc/Np,0)</f>
        <v>2.5500000000000003</v>
      </c>
      <c r="C16" s="353"/>
      <c r="D16" s="417" t="s">
        <v>13</v>
      </c>
      <c r="E16" s="291">
        <v>0.375</v>
      </c>
      <c r="F16" s="353"/>
      <c r="G16" s="291">
        <v>10</v>
      </c>
      <c r="H16" s="314" t="s">
        <v>422</v>
      </c>
      <c r="L16" s="296"/>
    </row>
    <row r="17" spans="1:8" x14ac:dyDescent="0.55000000000000004">
      <c r="A17" s="354" t="s">
        <v>14</v>
      </c>
      <c r="B17" s="355">
        <f>IF(Ns2_FBack_Calc&lt;&gt;0,Ns2_FBack_Calc/Np,0)</f>
        <v>0</v>
      </c>
      <c r="C17" s="315"/>
      <c r="D17" s="315" t="s">
        <v>14</v>
      </c>
      <c r="E17" s="286">
        <v>0</v>
      </c>
      <c r="F17" s="315"/>
      <c r="G17" s="286">
        <v>10</v>
      </c>
      <c r="H17" s="299" t="s">
        <v>422</v>
      </c>
    </row>
    <row r="18" spans="1:8" x14ac:dyDescent="0.55000000000000004">
      <c r="A18" s="354" t="s">
        <v>15</v>
      </c>
      <c r="B18" s="355">
        <f>IF(Ns3_FBack_Calc&lt;&gt;0,Ns3_FBack_Calc/Np,0)</f>
        <v>0</v>
      </c>
      <c r="C18" s="315"/>
      <c r="D18" s="315" t="s">
        <v>15</v>
      </c>
      <c r="E18" s="286">
        <v>0</v>
      </c>
      <c r="F18" s="315"/>
      <c r="G18" s="286">
        <v>0</v>
      </c>
      <c r="H18" s="299" t="s">
        <v>422</v>
      </c>
    </row>
    <row r="19" spans="1:8" x14ac:dyDescent="0.55000000000000004">
      <c r="A19" s="354" t="s">
        <v>16</v>
      </c>
      <c r="B19" s="355">
        <f>IF(Ns4_FBack_Calc&lt;&gt;0,Ns4_FBack_Calc/Np,0)</f>
        <v>0</v>
      </c>
      <c r="C19" s="315"/>
      <c r="D19" s="315" t="s">
        <v>16</v>
      </c>
      <c r="E19" s="286">
        <v>0</v>
      </c>
      <c r="F19" s="315"/>
      <c r="G19" s="286">
        <v>0</v>
      </c>
      <c r="H19" s="299" t="s">
        <v>422</v>
      </c>
    </row>
    <row r="20" spans="1:8" x14ac:dyDescent="0.55000000000000004">
      <c r="A20" s="354" t="s">
        <v>17</v>
      </c>
      <c r="B20" s="355">
        <f>IF(Ns5_FBack_Calc&lt;&gt;0,Ns5_FBack_Calc/Np,0)</f>
        <v>0</v>
      </c>
      <c r="C20" s="315"/>
      <c r="D20" s="315" t="s">
        <v>17</v>
      </c>
      <c r="E20" s="286">
        <v>0</v>
      </c>
      <c r="F20" s="315"/>
      <c r="G20" s="286">
        <v>0</v>
      </c>
      <c r="H20" s="299" t="s">
        <v>422</v>
      </c>
    </row>
    <row r="21" spans="1:8" x14ac:dyDescent="0.55000000000000004">
      <c r="A21" s="354" t="s">
        <v>18</v>
      </c>
      <c r="B21" s="355">
        <f>IF(Ns6_FBack_Calc&lt;&gt;0,Ns6_FBack_Calc/Np,0)</f>
        <v>0</v>
      </c>
      <c r="C21" s="315"/>
      <c r="D21" s="315" t="s">
        <v>18</v>
      </c>
      <c r="E21" s="286">
        <v>0</v>
      </c>
      <c r="F21" s="315"/>
      <c r="G21" s="286">
        <v>0</v>
      </c>
      <c r="H21" s="299" t="s">
        <v>422</v>
      </c>
    </row>
    <row r="22" spans="1:8" ht="14.7" thickBot="1" x14ac:dyDescent="0.6">
      <c r="A22" s="356" t="s">
        <v>398</v>
      </c>
      <c r="B22" s="357">
        <f>IF(NsAux_FBack_Calc&lt;&gt;0,NsAux_FBack_Calc/Np,0)</f>
        <v>0</v>
      </c>
      <c r="C22" s="358"/>
      <c r="D22" s="358" t="s">
        <v>398</v>
      </c>
      <c r="E22" s="290">
        <v>0</v>
      </c>
      <c r="F22" s="358"/>
      <c r="G22" s="290">
        <v>10</v>
      </c>
      <c r="H22" s="305" t="s">
        <v>422</v>
      </c>
    </row>
    <row r="23" spans="1:8" ht="15.75" thickBot="1" x14ac:dyDescent="0.3">
      <c r="B23" s="364"/>
      <c r="D23" s="315"/>
      <c r="F23" s="315"/>
    </row>
    <row r="24" spans="1:8" ht="19.5" thickBot="1" x14ac:dyDescent="0.35">
      <c r="A24" s="497" t="s">
        <v>35</v>
      </c>
      <c r="B24" s="498"/>
      <c r="C24" s="499"/>
    </row>
    <row r="25" spans="1:8" x14ac:dyDescent="0.55000000000000004">
      <c r="A25" s="354" t="s">
        <v>63</v>
      </c>
      <c r="B25" s="375">
        <f>Lcalc_Flyback_VinNom*(10^6)</f>
        <v>253.71742112482852</v>
      </c>
      <c r="C25" s="299" t="s">
        <v>952</v>
      </c>
    </row>
    <row r="26" spans="1:8" x14ac:dyDescent="0.55000000000000004">
      <c r="A26" s="354" t="s">
        <v>62</v>
      </c>
      <c r="B26" s="286">
        <v>160</v>
      </c>
      <c r="C26" s="299" t="s">
        <v>952</v>
      </c>
    </row>
    <row r="27" spans="1:8" x14ac:dyDescent="0.55000000000000004">
      <c r="A27" s="354" t="s">
        <v>447</v>
      </c>
      <c r="B27" s="286">
        <v>70</v>
      </c>
      <c r="C27" s="299" t="s">
        <v>448</v>
      </c>
    </row>
    <row r="28" spans="1:8" ht="14.7" thickBot="1" x14ac:dyDescent="0.6">
      <c r="A28" s="356" t="s">
        <v>709</v>
      </c>
      <c r="B28" s="290">
        <v>1</v>
      </c>
      <c r="C28" s="305" t="s">
        <v>952</v>
      </c>
    </row>
    <row r="29" spans="1:8" ht="19.5" thickBot="1" x14ac:dyDescent="0.35">
      <c r="A29" s="497" t="s">
        <v>689</v>
      </c>
      <c r="B29" s="498"/>
      <c r="C29" s="499"/>
    </row>
    <row r="30" spans="1:8" ht="15" x14ac:dyDescent="0.25">
      <c r="A30" s="354" t="s">
        <v>92</v>
      </c>
      <c r="B30" s="375">
        <f>ILpeak_Max_FlyB_CCM</f>
        <v>1.4883107088989442</v>
      </c>
      <c r="C30" s="376" t="s">
        <v>6</v>
      </c>
    </row>
    <row r="31" spans="1:8" ht="15" x14ac:dyDescent="0.25">
      <c r="A31" s="354" t="s">
        <v>93</v>
      </c>
      <c r="B31" s="377">
        <f>ILripple_Max_FlyB_CCM</f>
        <v>0.50595238095238104</v>
      </c>
      <c r="C31" s="362" t="s">
        <v>6</v>
      </c>
    </row>
    <row r="32" spans="1:8" ht="15.75" thickBot="1" x14ac:dyDescent="0.3">
      <c r="A32" s="356" t="s">
        <v>94</v>
      </c>
      <c r="B32" s="378">
        <f>ILrms_Max_FlyB_CCM</f>
        <v>1.3390825797136774</v>
      </c>
      <c r="C32" s="363" t="s">
        <v>6</v>
      </c>
    </row>
    <row r="33" spans="1:4" ht="15.75" thickBot="1" x14ac:dyDescent="0.3"/>
    <row r="34" spans="1:4" ht="19.5" thickBot="1" x14ac:dyDescent="0.35">
      <c r="A34" s="497" t="s">
        <v>616</v>
      </c>
      <c r="B34" s="498"/>
      <c r="C34" s="499"/>
      <c r="D34" s="373"/>
    </row>
    <row r="35" spans="1:4" ht="15" x14ac:dyDescent="0.25">
      <c r="A35" s="354" t="s">
        <v>277</v>
      </c>
      <c r="B35" s="535">
        <f>Flyback_CCM_Calc!I24</f>
        <v>0</v>
      </c>
      <c r="C35" s="536"/>
      <c r="D35" s="315"/>
    </row>
    <row r="36" spans="1:4" ht="15" x14ac:dyDescent="0.25">
      <c r="A36" s="354" t="s">
        <v>424</v>
      </c>
      <c r="B36" s="537">
        <f>Flyback_CCM_Calc!I25</f>
        <v>0</v>
      </c>
      <c r="C36" s="538"/>
      <c r="D36" s="315"/>
    </row>
    <row r="37" spans="1:4" ht="15" x14ac:dyDescent="0.25">
      <c r="A37" s="354" t="s">
        <v>425</v>
      </c>
      <c r="B37" s="539">
        <f>Flyback_CCM_Calc!I26</f>
        <v>1</v>
      </c>
      <c r="C37" s="540"/>
      <c r="D37" s="315"/>
    </row>
    <row r="38" spans="1:4" ht="15" x14ac:dyDescent="0.25">
      <c r="A38" s="354" t="s">
        <v>426</v>
      </c>
      <c r="B38" s="539">
        <f>Flyback_CCM_Calc!I27</f>
        <v>0</v>
      </c>
      <c r="C38" s="540"/>
      <c r="D38" s="315"/>
    </row>
    <row r="39" spans="1:4" ht="15" x14ac:dyDescent="0.25">
      <c r="A39" s="354" t="s">
        <v>960</v>
      </c>
      <c r="B39" s="539">
        <f>Flyback_CCM_Calc!I28</f>
        <v>0</v>
      </c>
      <c r="C39" s="540"/>
      <c r="D39" s="315"/>
    </row>
    <row r="40" spans="1:4" ht="15.75" thickBot="1" x14ac:dyDescent="0.3">
      <c r="A40" s="356" t="s">
        <v>518</v>
      </c>
      <c r="B40" s="541" t="s">
        <v>425</v>
      </c>
      <c r="C40" s="495"/>
      <c r="D40" s="315"/>
    </row>
    <row r="43" spans="1:4" ht="15" x14ac:dyDescent="0.25">
      <c r="A43" s="315"/>
      <c r="B43" s="369"/>
      <c r="C43" s="315"/>
    </row>
    <row r="44" spans="1:4" ht="15" x14ac:dyDescent="0.25">
      <c r="A44" s="315"/>
      <c r="B44" s="369"/>
      <c r="C44" s="315"/>
    </row>
    <row r="45" spans="1:4" ht="15" x14ac:dyDescent="0.25">
      <c r="A45" s="315"/>
      <c r="B45" s="369"/>
      <c r="C45" s="315"/>
    </row>
    <row r="46" spans="1:4" ht="15" x14ac:dyDescent="0.25">
      <c r="A46" s="315"/>
      <c r="B46" s="369"/>
      <c r="C46" s="315"/>
    </row>
    <row r="47" spans="1:4" ht="15" x14ac:dyDescent="0.25">
      <c r="A47" s="315"/>
      <c r="B47" s="369"/>
      <c r="C47" s="315"/>
    </row>
    <row r="48" spans="1:4" ht="15" x14ac:dyDescent="0.25">
      <c r="A48" s="315"/>
      <c r="B48" s="369"/>
      <c r="C48" s="315"/>
    </row>
    <row r="49" spans="1:3" ht="15" x14ac:dyDescent="0.25">
      <c r="A49" s="315"/>
      <c r="B49" s="369"/>
      <c r="C49" s="315"/>
    </row>
    <row r="50" spans="1:3" ht="15" x14ac:dyDescent="0.25">
      <c r="A50" s="315"/>
      <c r="B50" s="369"/>
      <c r="C50" s="315"/>
    </row>
    <row r="51" spans="1:3" ht="15" x14ac:dyDescent="0.25">
      <c r="A51" s="315"/>
      <c r="B51" s="369"/>
      <c r="C51" s="315"/>
    </row>
    <row r="52" spans="1:3" ht="15" x14ac:dyDescent="0.25">
      <c r="A52" s="315"/>
      <c r="B52" s="369"/>
      <c r="C52" s="315"/>
    </row>
    <row r="53" spans="1:3" ht="15" x14ac:dyDescent="0.25">
      <c r="A53" s="315"/>
      <c r="B53" s="369"/>
      <c r="C53" s="315"/>
    </row>
    <row r="54" spans="1:3" ht="15" x14ac:dyDescent="0.25">
      <c r="A54" s="315"/>
      <c r="B54" s="369"/>
      <c r="C54" s="315"/>
    </row>
    <row r="55" spans="1:3" ht="15" x14ac:dyDescent="0.25">
      <c r="A55" s="315"/>
      <c r="B55" s="369"/>
      <c r="C55" s="315"/>
    </row>
    <row r="56" spans="1:3" ht="15" x14ac:dyDescent="0.25">
      <c r="A56" s="315"/>
      <c r="B56" s="369"/>
      <c r="C56" s="315"/>
    </row>
    <row r="57" spans="1:3" ht="15" x14ac:dyDescent="0.25">
      <c r="A57" s="315"/>
      <c r="B57" s="369"/>
      <c r="C57" s="315"/>
    </row>
    <row r="58" spans="1:3" ht="15" x14ac:dyDescent="0.25">
      <c r="A58" s="315"/>
      <c r="B58" s="369"/>
      <c r="C58" s="315"/>
    </row>
    <row r="59" spans="1:3" ht="15" x14ac:dyDescent="0.25">
      <c r="A59" s="315"/>
      <c r="B59" s="369"/>
      <c r="C59" s="315"/>
    </row>
    <row r="60" spans="1:3" ht="15" x14ac:dyDescent="0.25">
      <c r="A60" s="315"/>
      <c r="B60" s="369"/>
      <c r="C60" s="315"/>
    </row>
    <row r="61" spans="1:3" ht="15" x14ac:dyDescent="0.25">
      <c r="A61" s="315"/>
      <c r="B61" s="369"/>
      <c r="C61" s="315"/>
    </row>
    <row r="62" spans="1:3" ht="15" x14ac:dyDescent="0.25">
      <c r="A62" s="315"/>
      <c r="B62" s="369"/>
      <c r="C62" s="315"/>
    </row>
    <row r="63" spans="1:3" ht="15" x14ac:dyDescent="0.25">
      <c r="A63" s="315"/>
      <c r="B63" s="369"/>
      <c r="C63" s="315"/>
    </row>
    <row r="64" spans="1:3" ht="15" x14ac:dyDescent="0.25">
      <c r="A64" s="315"/>
      <c r="B64" s="369"/>
      <c r="C64" s="315"/>
    </row>
    <row r="65" spans="1:5" ht="15.75" thickBot="1" x14ac:dyDescent="0.3">
      <c r="A65" s="315"/>
      <c r="B65" s="369"/>
      <c r="C65" s="315"/>
    </row>
    <row r="66" spans="1:5" ht="19.5" thickBot="1" x14ac:dyDescent="0.35">
      <c r="A66" s="534" t="s">
        <v>810</v>
      </c>
      <c r="B66" s="500"/>
      <c r="C66" s="501"/>
    </row>
    <row r="67" spans="1:5" ht="15" x14ac:dyDescent="0.25">
      <c r="A67" s="384" t="s">
        <v>773</v>
      </c>
      <c r="B67" s="291">
        <v>15</v>
      </c>
      <c r="C67" s="361" t="s">
        <v>6</v>
      </c>
    </row>
    <row r="68" spans="1:5" x14ac:dyDescent="0.55000000000000004">
      <c r="A68" s="380" t="s">
        <v>719</v>
      </c>
      <c r="B68" s="377">
        <f>IF(Flyback_CCM_Calc!B74&lt;&gt;8,(Flyback_CCM_Calc!B90/'Flyback CCM'!B67)*1000,50)</f>
        <v>33.333333333333336</v>
      </c>
      <c r="C68" s="362" t="s">
        <v>422</v>
      </c>
    </row>
    <row r="69" spans="1:5" x14ac:dyDescent="0.55000000000000004">
      <c r="A69" s="380" t="s">
        <v>716</v>
      </c>
      <c r="B69" s="286">
        <v>80</v>
      </c>
      <c r="C69" s="362" t="s">
        <v>422</v>
      </c>
      <c r="E69" s="297" t="s">
        <v>966</v>
      </c>
    </row>
    <row r="70" spans="1:5" ht="15.75" thickBot="1" x14ac:dyDescent="0.3">
      <c r="A70" s="382" t="s">
        <v>720</v>
      </c>
      <c r="B70" s="378">
        <f>IF(Flyback_CCM_Calc!B74&lt;&gt;8,(Flyback_CCM_Calc!B90)/(B69/1000),0.8)</f>
        <v>6.25</v>
      </c>
      <c r="C70" s="363" t="s">
        <v>6</v>
      </c>
    </row>
    <row r="71" spans="1:5" ht="15.75" thickBot="1" x14ac:dyDescent="0.3">
      <c r="A71" s="315"/>
      <c r="B71" s="369"/>
      <c r="C71" s="315"/>
    </row>
    <row r="72" spans="1:5" ht="19.5" thickBot="1" x14ac:dyDescent="0.35">
      <c r="A72" s="497" t="s">
        <v>625</v>
      </c>
      <c r="B72" s="498"/>
      <c r="C72" s="499"/>
    </row>
    <row r="73" spans="1:5" ht="15" x14ac:dyDescent="0.25">
      <c r="A73" s="379" t="s">
        <v>626</v>
      </c>
      <c r="B73" s="285">
        <v>80</v>
      </c>
      <c r="C73" s="376" t="s">
        <v>5</v>
      </c>
    </row>
    <row r="74" spans="1:5" x14ac:dyDescent="0.55000000000000004">
      <c r="A74" s="380" t="s">
        <v>627</v>
      </c>
      <c r="B74" s="286">
        <v>3.8</v>
      </c>
      <c r="C74" s="381" t="s">
        <v>422</v>
      </c>
    </row>
    <row r="75" spans="1:5" ht="15" x14ac:dyDescent="0.25">
      <c r="A75" s="380" t="s">
        <v>628</v>
      </c>
      <c r="B75" s="286">
        <v>48</v>
      </c>
      <c r="C75" s="362" t="s">
        <v>629</v>
      </c>
    </row>
    <row r="76" spans="1:5" ht="15.75" thickBot="1" x14ac:dyDescent="0.3">
      <c r="A76" s="382" t="s">
        <v>710</v>
      </c>
      <c r="B76" s="290">
        <v>1</v>
      </c>
      <c r="C76" s="363" t="s">
        <v>445</v>
      </c>
    </row>
    <row r="77" spans="1:5" ht="15.75" thickBot="1" x14ac:dyDescent="0.3">
      <c r="A77" s="315"/>
      <c r="B77" s="369"/>
      <c r="C77" s="315"/>
    </row>
    <row r="78" spans="1:5" ht="19.5" thickBot="1" x14ac:dyDescent="0.35">
      <c r="A78" s="497" t="s">
        <v>453</v>
      </c>
      <c r="B78" s="498"/>
      <c r="C78" s="499"/>
    </row>
    <row r="79" spans="1:5" ht="15" x14ac:dyDescent="0.25">
      <c r="A79" s="379" t="s">
        <v>711</v>
      </c>
      <c r="B79" s="285">
        <v>70</v>
      </c>
      <c r="C79" s="376" t="s">
        <v>5</v>
      </c>
    </row>
    <row r="80" spans="1:5" ht="15" x14ac:dyDescent="0.25">
      <c r="A80" s="380" t="s">
        <v>468</v>
      </c>
      <c r="B80" s="324">
        <f>Vclamp_Flyback_CCM-VinMin</f>
        <v>64</v>
      </c>
      <c r="C80" s="362" t="s">
        <v>5</v>
      </c>
    </row>
    <row r="81" spans="1:37" ht="15" x14ac:dyDescent="0.25">
      <c r="A81" s="380" t="s">
        <v>712</v>
      </c>
      <c r="B81" s="286">
        <v>50</v>
      </c>
      <c r="C81" s="362" t="s">
        <v>280</v>
      </c>
    </row>
    <row r="82" spans="1:37" x14ac:dyDescent="0.55000000000000004">
      <c r="A82" s="380" t="s">
        <v>713</v>
      </c>
      <c r="B82" s="377">
        <f>Flyback_CCM_Calc!B67/1000</f>
        <v>4.6228813101181228</v>
      </c>
      <c r="C82" s="362" t="s">
        <v>474</v>
      </c>
    </row>
    <row r="83" spans="1:37" x14ac:dyDescent="0.55000000000000004">
      <c r="A83" s="380" t="s">
        <v>714</v>
      </c>
      <c r="B83" s="286">
        <v>1</v>
      </c>
      <c r="C83" s="362" t="s">
        <v>474</v>
      </c>
    </row>
    <row r="84" spans="1:37" x14ac:dyDescent="0.55000000000000004">
      <c r="A84" s="380" t="s">
        <v>715</v>
      </c>
      <c r="B84" s="355">
        <f>Flyback_CCM_Calc!B70*(10^6)</f>
        <v>4.2666666666666666</v>
      </c>
      <c r="C84" s="362" t="s">
        <v>951</v>
      </c>
    </row>
    <row r="85" spans="1:37" x14ac:dyDescent="0.55000000000000004">
      <c r="A85" s="380" t="s">
        <v>421</v>
      </c>
      <c r="B85" s="387">
        <v>0.33</v>
      </c>
      <c r="C85" s="362" t="s">
        <v>951</v>
      </c>
    </row>
    <row r="86" spans="1:37" ht="14.7" thickBot="1" x14ac:dyDescent="0.6">
      <c r="A86" s="382" t="s">
        <v>476</v>
      </c>
      <c r="B86" s="378">
        <f>Flyback_CCM_Calc!B72*1000</f>
        <v>646.46464646464653</v>
      </c>
      <c r="C86" s="363" t="s">
        <v>280</v>
      </c>
    </row>
    <row r="89" spans="1:37" x14ac:dyDescent="0.55000000000000004">
      <c r="AI89" s="327"/>
      <c r="AJ89" s="327"/>
      <c r="AK89" s="327"/>
    </row>
    <row r="90" spans="1:37" x14ac:dyDescent="0.55000000000000004">
      <c r="AI90" s="327"/>
      <c r="AJ90" s="327"/>
      <c r="AK90" s="327"/>
    </row>
    <row r="91" spans="1:37" x14ac:dyDescent="0.55000000000000004">
      <c r="AI91" s="327"/>
      <c r="AJ91" s="327"/>
      <c r="AK91" s="327"/>
    </row>
    <row r="92" spans="1:37" x14ac:dyDescent="0.55000000000000004">
      <c r="AI92" s="327"/>
      <c r="AJ92" s="327"/>
      <c r="AK92" s="327"/>
    </row>
    <row r="93" spans="1:37" x14ac:dyDescent="0.55000000000000004">
      <c r="AI93" s="327"/>
      <c r="AJ93" s="327"/>
      <c r="AK93" s="327"/>
    </row>
    <row r="94" spans="1:37" x14ac:dyDescent="0.55000000000000004">
      <c r="AI94" s="327"/>
      <c r="AJ94" s="327"/>
      <c r="AK94" s="327"/>
    </row>
    <row r="95" spans="1:37" x14ac:dyDescent="0.55000000000000004">
      <c r="AI95" s="327"/>
      <c r="AJ95" s="327"/>
      <c r="AK95" s="327"/>
    </row>
    <row r="96" spans="1:37" x14ac:dyDescent="0.55000000000000004">
      <c r="AI96" s="327"/>
      <c r="AJ96" s="327"/>
      <c r="AK96" s="327"/>
    </row>
    <row r="97" spans="9:37" x14ac:dyDescent="0.55000000000000004">
      <c r="AI97" s="327"/>
      <c r="AJ97" s="327"/>
      <c r="AK97" s="327"/>
    </row>
    <row r="98" spans="9:37" x14ac:dyDescent="0.55000000000000004">
      <c r="I98" s="296"/>
      <c r="X98" s="315"/>
      <c r="Y98" s="315"/>
      <c r="Z98" s="315"/>
      <c r="AI98" s="327"/>
      <c r="AJ98" s="327"/>
      <c r="AK98" s="327"/>
    </row>
    <row r="99" spans="9:37" x14ac:dyDescent="0.55000000000000004">
      <c r="X99" s="315"/>
      <c r="Y99" s="315"/>
      <c r="Z99" s="315"/>
      <c r="AI99" s="327"/>
      <c r="AJ99" s="327"/>
      <c r="AK99" s="327"/>
    </row>
    <row r="100" spans="9:37" x14ac:dyDescent="0.55000000000000004">
      <c r="X100" s="327"/>
      <c r="Y100" s="327"/>
      <c r="Z100" s="315"/>
      <c r="AI100" s="327"/>
      <c r="AJ100" s="327"/>
      <c r="AK100" s="327"/>
    </row>
    <row r="101" spans="9:37" x14ac:dyDescent="0.55000000000000004">
      <c r="X101" s="315"/>
      <c r="Y101" s="315"/>
      <c r="Z101" s="315"/>
      <c r="AI101" s="327"/>
      <c r="AJ101" s="327"/>
      <c r="AK101" s="327"/>
    </row>
    <row r="102" spans="9:37" x14ac:dyDescent="0.55000000000000004">
      <c r="X102" s="315"/>
      <c r="Y102" s="315"/>
      <c r="Z102" s="315"/>
      <c r="AI102" s="327"/>
      <c r="AJ102" s="327"/>
      <c r="AK102" s="327"/>
    </row>
    <row r="103" spans="9:37" x14ac:dyDescent="0.55000000000000004">
      <c r="X103" s="315"/>
      <c r="Y103" s="315"/>
      <c r="Z103" s="315"/>
      <c r="AI103" s="327"/>
      <c r="AJ103" s="327"/>
      <c r="AK103" s="327"/>
    </row>
    <row r="104" spans="9:37" x14ac:dyDescent="0.55000000000000004">
      <c r="X104" s="315"/>
      <c r="Y104" s="315"/>
      <c r="Z104" s="315"/>
      <c r="AI104" s="327"/>
      <c r="AJ104" s="327"/>
      <c r="AK104" s="327"/>
    </row>
    <row r="105" spans="9:37" x14ac:dyDescent="0.55000000000000004">
      <c r="X105" s="315"/>
      <c r="Y105" s="315"/>
      <c r="Z105" s="315"/>
      <c r="AI105" s="327"/>
      <c r="AJ105" s="327"/>
      <c r="AK105" s="327"/>
    </row>
    <row r="106" spans="9:37" x14ac:dyDescent="0.55000000000000004">
      <c r="X106" s="315"/>
      <c r="Y106" s="315"/>
      <c r="Z106" s="315"/>
      <c r="AI106" s="327"/>
      <c r="AJ106" s="327"/>
      <c r="AK106" s="327"/>
    </row>
    <row r="107" spans="9:37" x14ac:dyDescent="0.55000000000000004">
      <c r="X107" s="315"/>
      <c r="Y107" s="315"/>
      <c r="Z107" s="315"/>
      <c r="AI107" s="327"/>
      <c r="AJ107" s="327"/>
      <c r="AK107" s="327"/>
    </row>
    <row r="108" spans="9:37" x14ac:dyDescent="0.55000000000000004">
      <c r="X108" s="315"/>
      <c r="Y108" s="315"/>
      <c r="Z108" s="315"/>
      <c r="AI108" s="327"/>
      <c r="AJ108" s="327"/>
      <c r="AK108" s="327"/>
    </row>
    <row r="109" spans="9:37" x14ac:dyDescent="0.55000000000000004">
      <c r="X109" s="315"/>
      <c r="Y109" s="315"/>
      <c r="Z109" s="315"/>
      <c r="AI109" s="327"/>
      <c r="AJ109" s="327"/>
      <c r="AK109" s="327"/>
    </row>
    <row r="110" spans="9:37" x14ac:dyDescent="0.55000000000000004">
      <c r="X110" s="315"/>
      <c r="Y110" s="315"/>
      <c r="Z110" s="315"/>
      <c r="AI110" s="327"/>
      <c r="AJ110" s="327"/>
      <c r="AK110" s="327"/>
    </row>
    <row r="111" spans="9:37" x14ac:dyDescent="0.55000000000000004">
      <c r="X111" s="315"/>
      <c r="Y111" s="315"/>
      <c r="Z111" s="315"/>
      <c r="AI111" s="327"/>
      <c r="AJ111" s="327"/>
      <c r="AK111" s="327"/>
    </row>
    <row r="112" spans="9:37" x14ac:dyDescent="0.55000000000000004">
      <c r="X112" s="315"/>
      <c r="Y112" s="315"/>
      <c r="Z112" s="315"/>
      <c r="AI112" s="327"/>
      <c r="AJ112" s="327"/>
      <c r="AK112" s="327"/>
    </row>
    <row r="113" spans="1:37" x14ac:dyDescent="0.55000000000000004">
      <c r="X113" s="315"/>
      <c r="Y113" s="315"/>
      <c r="Z113" s="315"/>
      <c r="AI113" s="327"/>
      <c r="AJ113" s="327"/>
      <c r="AK113" s="327"/>
    </row>
    <row r="114" spans="1:37" x14ac:dyDescent="0.55000000000000004">
      <c r="X114" s="315"/>
      <c r="Y114" s="315"/>
      <c r="Z114" s="315"/>
      <c r="AI114" s="327"/>
      <c r="AJ114" s="327"/>
      <c r="AK114" s="327"/>
    </row>
    <row r="115" spans="1:37" x14ac:dyDescent="0.55000000000000004">
      <c r="X115" s="315"/>
      <c r="Y115" s="315"/>
      <c r="Z115" s="315"/>
      <c r="AI115" s="315"/>
      <c r="AJ115" s="315"/>
      <c r="AK115" s="315"/>
    </row>
    <row r="116" spans="1:37" x14ac:dyDescent="0.55000000000000004">
      <c r="X116" s="315"/>
      <c r="Y116" s="315"/>
      <c r="Z116" s="315"/>
      <c r="AI116" s="315"/>
      <c r="AJ116" s="315"/>
      <c r="AK116" s="315"/>
    </row>
    <row r="117" spans="1:37" x14ac:dyDescent="0.55000000000000004">
      <c r="X117" s="315"/>
      <c r="Y117" s="315"/>
      <c r="Z117" s="315"/>
      <c r="AI117" s="315"/>
      <c r="AJ117" s="315"/>
      <c r="AK117" s="315"/>
    </row>
    <row r="118" spans="1:37" x14ac:dyDescent="0.55000000000000004">
      <c r="X118" s="315"/>
      <c r="Y118" s="315"/>
      <c r="Z118" s="315"/>
      <c r="AI118" s="315"/>
      <c r="AJ118" s="315"/>
      <c r="AK118" s="315"/>
    </row>
    <row r="119" spans="1:37" x14ac:dyDescent="0.55000000000000004">
      <c r="P119" s="296"/>
      <c r="X119" s="315"/>
      <c r="Y119" s="315"/>
      <c r="Z119" s="315"/>
      <c r="AI119" s="315"/>
      <c r="AJ119" s="315"/>
      <c r="AK119" s="315"/>
    </row>
    <row r="120" spans="1:37" x14ac:dyDescent="0.55000000000000004">
      <c r="X120" s="315"/>
      <c r="Y120" s="315"/>
      <c r="Z120" s="315"/>
      <c r="AI120" s="315"/>
      <c r="AJ120" s="315"/>
      <c r="AK120" s="315"/>
    </row>
    <row r="121" spans="1:37" x14ac:dyDescent="0.55000000000000004">
      <c r="X121" s="315"/>
      <c r="Y121" s="315"/>
      <c r="Z121" s="315"/>
      <c r="AI121" s="315"/>
      <c r="AJ121" s="315"/>
      <c r="AK121" s="315"/>
    </row>
    <row r="122" spans="1:37" x14ac:dyDescent="0.55000000000000004">
      <c r="X122" s="315"/>
      <c r="Y122" s="315"/>
      <c r="Z122" s="315"/>
      <c r="AI122" s="315"/>
      <c r="AJ122" s="315"/>
      <c r="AK122" s="315"/>
    </row>
    <row r="123" spans="1:37" x14ac:dyDescent="0.55000000000000004">
      <c r="X123" s="315"/>
      <c r="Y123" s="315"/>
      <c r="Z123" s="315"/>
      <c r="AI123" s="315"/>
      <c r="AJ123" s="315"/>
      <c r="AK123" s="315"/>
    </row>
    <row r="124" spans="1:37" x14ac:dyDescent="0.55000000000000004">
      <c r="X124" s="315"/>
      <c r="Y124" s="315"/>
      <c r="Z124" s="315"/>
      <c r="AI124" s="315"/>
      <c r="AJ124" s="315"/>
      <c r="AK124" s="315"/>
    </row>
    <row r="125" spans="1:37" ht="14.7" thickBot="1" x14ac:dyDescent="0.6">
      <c r="X125" s="315"/>
      <c r="Y125" s="315"/>
      <c r="Z125" s="315"/>
      <c r="AI125" s="315"/>
      <c r="AJ125" s="315"/>
      <c r="AK125" s="315"/>
    </row>
    <row r="126" spans="1:37" ht="18.600000000000001" thickBot="1" x14ac:dyDescent="0.75">
      <c r="A126" s="497" t="s">
        <v>812</v>
      </c>
      <c r="B126" s="498"/>
      <c r="C126" s="499"/>
      <c r="X126" s="315"/>
      <c r="Y126" s="315"/>
      <c r="Z126" s="315"/>
      <c r="AI126" s="514"/>
      <c r="AJ126" s="514"/>
      <c r="AK126" s="514"/>
    </row>
    <row r="127" spans="1:37" x14ac:dyDescent="0.55000000000000004">
      <c r="A127" s="411" t="s">
        <v>702</v>
      </c>
      <c r="B127" s="383">
        <f>Flyback_CCM_Calc!B56</f>
        <v>37.5</v>
      </c>
      <c r="C127" s="299" t="s">
        <v>5</v>
      </c>
      <c r="X127" s="315"/>
      <c r="Y127" s="315"/>
      <c r="Z127" s="315"/>
      <c r="AI127" s="315"/>
      <c r="AJ127" s="315"/>
      <c r="AK127" s="315"/>
    </row>
    <row r="128" spans="1:37" x14ac:dyDescent="0.55000000000000004">
      <c r="A128" s="354" t="s">
        <v>703</v>
      </c>
      <c r="B128" s="324">
        <f>Flyback_CCM_Calc!B57</f>
        <v>0</v>
      </c>
      <c r="C128" s="299" t="s">
        <v>5</v>
      </c>
      <c r="AI128" s="315"/>
      <c r="AJ128" s="315"/>
      <c r="AK128" s="315"/>
    </row>
    <row r="129" spans="1:37" x14ac:dyDescent="0.55000000000000004">
      <c r="A129" s="354" t="s">
        <v>704</v>
      </c>
      <c r="B129" s="324">
        <f>Flyback_CCM_Calc!B58</f>
        <v>0</v>
      </c>
      <c r="C129" s="299" t="s">
        <v>5</v>
      </c>
      <c r="AI129" s="315"/>
      <c r="AJ129" s="315"/>
      <c r="AK129" s="315"/>
    </row>
    <row r="130" spans="1:37" x14ac:dyDescent="0.55000000000000004">
      <c r="A130" s="354" t="s">
        <v>705</v>
      </c>
      <c r="B130" s="324">
        <f>Flyback_CCM_Calc!B59</f>
        <v>0</v>
      </c>
      <c r="C130" s="299" t="s">
        <v>5</v>
      </c>
      <c r="AI130" s="315"/>
      <c r="AJ130" s="315"/>
      <c r="AK130" s="315"/>
    </row>
    <row r="131" spans="1:37" x14ac:dyDescent="0.55000000000000004">
      <c r="A131" s="354" t="s">
        <v>706</v>
      </c>
      <c r="B131" s="324">
        <f>Flyback_CCM_Calc!B60</f>
        <v>0</v>
      </c>
      <c r="C131" s="299" t="s">
        <v>5</v>
      </c>
      <c r="AI131" s="315"/>
      <c r="AJ131" s="315"/>
      <c r="AK131" s="315"/>
    </row>
    <row r="132" spans="1:37" x14ac:dyDescent="0.55000000000000004">
      <c r="A132" s="354" t="s">
        <v>707</v>
      </c>
      <c r="B132" s="324">
        <f>Flyback_CCM_Calc!B61</f>
        <v>0</v>
      </c>
      <c r="C132" s="299" t="s">
        <v>5</v>
      </c>
    </row>
    <row r="133" spans="1:37" ht="14.7" thickBot="1" x14ac:dyDescent="0.6">
      <c r="A133" s="356" t="s">
        <v>708</v>
      </c>
      <c r="B133" s="326">
        <f>Flyback_CCM_Calc!B62</f>
        <v>0</v>
      </c>
      <c r="C133" s="305" t="s">
        <v>5</v>
      </c>
    </row>
    <row r="135" spans="1:37" ht="14.7" thickBot="1" x14ac:dyDescent="0.6">
      <c r="A135" s="315"/>
      <c r="B135" s="369"/>
      <c r="C135" s="315"/>
    </row>
    <row r="136" spans="1:37" ht="18.600000000000001" thickBot="1" x14ac:dyDescent="0.75">
      <c r="A136" s="497" t="s">
        <v>811</v>
      </c>
      <c r="B136" s="498"/>
      <c r="C136" s="499"/>
    </row>
    <row r="137" spans="1:37" x14ac:dyDescent="0.55000000000000004">
      <c r="A137" s="411" t="s">
        <v>298</v>
      </c>
      <c r="B137" s="375">
        <f>Flyback_CCM_Calc!B41*(10^6)</f>
        <v>29.05982905982906</v>
      </c>
      <c r="C137" s="376" t="s">
        <v>951</v>
      </c>
    </row>
    <row r="138" spans="1:37" x14ac:dyDescent="0.55000000000000004">
      <c r="A138" s="411" t="s">
        <v>299</v>
      </c>
      <c r="B138" s="286">
        <v>330</v>
      </c>
      <c r="C138" s="362" t="s">
        <v>951</v>
      </c>
    </row>
    <row r="139" spans="1:37" ht="14.7" thickBot="1" x14ac:dyDescent="0.6">
      <c r="A139" s="411" t="s">
        <v>690</v>
      </c>
      <c r="B139" s="290">
        <v>15</v>
      </c>
      <c r="C139" s="363" t="s">
        <v>422</v>
      </c>
    </row>
    <row r="140" spans="1:37" x14ac:dyDescent="0.55000000000000004">
      <c r="A140" s="351" t="s">
        <v>300</v>
      </c>
      <c r="B140" s="359">
        <f>Flyback_CCM_Calc!B43*(10^6)</f>
        <v>0</v>
      </c>
      <c r="C140" s="361" t="s">
        <v>951</v>
      </c>
    </row>
    <row r="141" spans="1:37" x14ac:dyDescent="0.55000000000000004">
      <c r="A141" s="354" t="s">
        <v>301</v>
      </c>
      <c r="B141" s="286">
        <v>0</v>
      </c>
      <c r="C141" s="362" t="s">
        <v>951</v>
      </c>
    </row>
    <row r="142" spans="1:37" ht="14.7" thickBot="1" x14ac:dyDescent="0.6">
      <c r="A142" s="356" t="s">
        <v>691</v>
      </c>
      <c r="B142" s="290">
        <v>0</v>
      </c>
      <c r="C142" s="363" t="s">
        <v>422</v>
      </c>
    </row>
    <row r="143" spans="1:37" x14ac:dyDescent="0.55000000000000004">
      <c r="A143" s="351" t="s">
        <v>302</v>
      </c>
      <c r="B143" s="359">
        <f>Flyback_CCM_Calc!B45*(10^6)</f>
        <v>0</v>
      </c>
      <c r="C143" s="361" t="s">
        <v>951</v>
      </c>
    </row>
    <row r="144" spans="1:37" x14ac:dyDescent="0.55000000000000004">
      <c r="A144" s="354" t="s">
        <v>303</v>
      </c>
      <c r="B144" s="286">
        <v>0</v>
      </c>
      <c r="C144" s="362" t="s">
        <v>951</v>
      </c>
    </row>
    <row r="145" spans="1:3" ht="14.7" thickBot="1" x14ac:dyDescent="0.6">
      <c r="A145" s="356" t="s">
        <v>692</v>
      </c>
      <c r="B145" s="290">
        <v>0</v>
      </c>
      <c r="C145" s="363" t="s">
        <v>422</v>
      </c>
    </row>
    <row r="146" spans="1:3" x14ac:dyDescent="0.55000000000000004">
      <c r="A146" s="351" t="s">
        <v>304</v>
      </c>
      <c r="B146" s="359">
        <f>Flyback_CCM_Calc!B47*(10^6)</f>
        <v>0</v>
      </c>
      <c r="C146" s="361" t="s">
        <v>951</v>
      </c>
    </row>
    <row r="147" spans="1:3" x14ac:dyDescent="0.55000000000000004">
      <c r="A147" s="354" t="s">
        <v>305</v>
      </c>
      <c r="B147" s="286">
        <v>0</v>
      </c>
      <c r="C147" s="362" t="s">
        <v>951</v>
      </c>
    </row>
    <row r="148" spans="1:3" ht="14.7" thickBot="1" x14ac:dyDescent="0.6">
      <c r="A148" s="356" t="s">
        <v>693</v>
      </c>
      <c r="B148" s="290">
        <v>0</v>
      </c>
      <c r="C148" s="363" t="s">
        <v>422</v>
      </c>
    </row>
    <row r="149" spans="1:3" x14ac:dyDescent="0.55000000000000004">
      <c r="A149" s="351" t="s">
        <v>306</v>
      </c>
      <c r="B149" s="359">
        <f>Flyback_CCM_Calc!B49*(10^6)</f>
        <v>0</v>
      </c>
      <c r="C149" s="361" t="s">
        <v>951</v>
      </c>
    </row>
    <row r="150" spans="1:3" x14ac:dyDescent="0.55000000000000004">
      <c r="A150" s="354" t="s">
        <v>307</v>
      </c>
      <c r="B150" s="286">
        <v>0</v>
      </c>
      <c r="C150" s="362" t="s">
        <v>951</v>
      </c>
    </row>
    <row r="151" spans="1:3" ht="14.7" thickBot="1" x14ac:dyDescent="0.6">
      <c r="A151" s="356" t="s">
        <v>694</v>
      </c>
      <c r="B151" s="290">
        <v>0</v>
      </c>
      <c r="C151" s="363" t="s">
        <v>422</v>
      </c>
    </row>
    <row r="152" spans="1:3" x14ac:dyDescent="0.55000000000000004">
      <c r="A152" s="351" t="s">
        <v>308</v>
      </c>
      <c r="B152" s="359">
        <f>Flyback_CCM_Calc!B51*(10^6)</f>
        <v>0</v>
      </c>
      <c r="C152" s="361" t="s">
        <v>951</v>
      </c>
    </row>
    <row r="153" spans="1:3" x14ac:dyDescent="0.55000000000000004">
      <c r="A153" s="354" t="s">
        <v>309</v>
      </c>
      <c r="B153" s="286">
        <v>0</v>
      </c>
      <c r="C153" s="362" t="s">
        <v>951</v>
      </c>
    </row>
    <row r="154" spans="1:3" ht="14.7" thickBot="1" x14ac:dyDescent="0.6">
      <c r="A154" s="356" t="s">
        <v>695</v>
      </c>
      <c r="B154" s="290">
        <v>0</v>
      </c>
      <c r="C154" s="363" t="s">
        <v>422</v>
      </c>
    </row>
    <row r="155" spans="1:3" x14ac:dyDescent="0.55000000000000004">
      <c r="A155" s="351" t="s">
        <v>697</v>
      </c>
      <c r="B155" s="359">
        <f>Flyback_CCM_Calc!B53*(10^6)</f>
        <v>0</v>
      </c>
      <c r="C155" s="361" t="s">
        <v>951</v>
      </c>
    </row>
    <row r="156" spans="1:3" x14ac:dyDescent="0.55000000000000004">
      <c r="A156" s="354" t="s">
        <v>698</v>
      </c>
      <c r="B156" s="286">
        <v>4</v>
      </c>
      <c r="C156" s="362" t="s">
        <v>951</v>
      </c>
    </row>
    <row r="157" spans="1:3" ht="14.7" thickBot="1" x14ac:dyDescent="0.6">
      <c r="A157" s="356" t="s">
        <v>696</v>
      </c>
      <c r="B157" s="290">
        <v>10</v>
      </c>
      <c r="C157" s="363" t="s">
        <v>422</v>
      </c>
    </row>
    <row r="160" spans="1:3" ht="14.7" thickBot="1" x14ac:dyDescent="0.6"/>
    <row r="161" spans="1:18" ht="18.600000000000001" thickBot="1" x14ac:dyDescent="0.75">
      <c r="A161" s="534" t="s">
        <v>494</v>
      </c>
      <c r="B161" s="500"/>
      <c r="C161" s="501"/>
      <c r="E161" s="297" t="s">
        <v>965</v>
      </c>
    </row>
    <row r="162" spans="1:18" ht="14.7" thickBot="1" x14ac:dyDescent="0.6">
      <c r="A162" s="526" t="s">
        <v>774</v>
      </c>
      <c r="B162" s="532"/>
      <c r="C162" s="527"/>
    </row>
    <row r="163" spans="1:18" x14ac:dyDescent="0.55000000000000004">
      <c r="A163" s="354" t="s">
        <v>677</v>
      </c>
      <c r="B163" s="389">
        <f>Flyback_CCM_Calc!$B$120/(2*PI()*4)/1000</f>
        <v>1.0002196021360943</v>
      </c>
      <c r="C163" s="376" t="s">
        <v>8</v>
      </c>
    </row>
    <row r="164" spans="1:18" x14ac:dyDescent="0.55000000000000004">
      <c r="A164" s="354" t="s">
        <v>678</v>
      </c>
      <c r="B164" s="286">
        <v>10</v>
      </c>
      <c r="C164" s="362" t="s">
        <v>8</v>
      </c>
    </row>
    <row r="165" spans="1:18" x14ac:dyDescent="0.55000000000000004">
      <c r="A165" s="354" t="s">
        <v>685</v>
      </c>
      <c r="B165" s="355">
        <f>Flyback_CCM_Calc!B113/(2*PI())/1000</f>
        <v>3.0091455181839838E-2</v>
      </c>
      <c r="C165" s="362" t="s">
        <v>8</v>
      </c>
    </row>
    <row r="166" spans="1:18" x14ac:dyDescent="0.55000000000000004">
      <c r="A166" s="354" t="s">
        <v>686</v>
      </c>
      <c r="B166" s="286">
        <v>7.0000000000000007E-2</v>
      </c>
      <c r="C166" s="362" t="s">
        <v>8</v>
      </c>
    </row>
    <row r="167" spans="1:18" x14ac:dyDescent="0.55000000000000004">
      <c r="A167" s="354" t="s">
        <v>679</v>
      </c>
      <c r="B167" s="355">
        <f>(Flyback_CCM_Calc!B120/(2*PI()))/1000</f>
        <v>4.0008784085443772</v>
      </c>
      <c r="C167" s="362" t="s">
        <v>8</v>
      </c>
    </row>
    <row r="168" spans="1:18" ht="14.7" thickBot="1" x14ac:dyDescent="0.6">
      <c r="A168" s="356" t="s">
        <v>680</v>
      </c>
      <c r="B168" s="290">
        <v>27</v>
      </c>
      <c r="C168" s="363" t="s">
        <v>8</v>
      </c>
    </row>
    <row r="171" spans="1:18" ht="14.7" thickBot="1" x14ac:dyDescent="0.6"/>
    <row r="172" spans="1:18" ht="18.600000000000001" thickBot="1" x14ac:dyDescent="0.75">
      <c r="A172" s="497" t="s">
        <v>956</v>
      </c>
      <c r="B172" s="498"/>
      <c r="C172" s="499"/>
      <c r="L172" s="528"/>
      <c r="M172" s="528"/>
      <c r="N172" s="528"/>
      <c r="O172" s="528"/>
      <c r="P172" s="528"/>
      <c r="Q172" s="528"/>
      <c r="R172" s="528"/>
    </row>
    <row r="173" spans="1:18" ht="14.7" thickBot="1" x14ac:dyDescent="0.6">
      <c r="A173" s="526" t="s">
        <v>964</v>
      </c>
      <c r="B173" s="532"/>
      <c r="C173" s="527"/>
    </row>
    <row r="174" spans="1:18" x14ac:dyDescent="0.55000000000000004">
      <c r="A174" s="354" t="s">
        <v>721</v>
      </c>
      <c r="B174" s="454">
        <f>Flyback_CCM_Calc!B92</f>
        <v>5</v>
      </c>
      <c r="C174" s="381" t="s">
        <v>5</v>
      </c>
    </row>
    <row r="175" spans="1:18" ht="14.7" thickBot="1" x14ac:dyDescent="0.6">
      <c r="A175" s="354" t="s">
        <v>725</v>
      </c>
      <c r="B175" s="324">
        <f>Flyback_CCM_Calc!B93</f>
        <v>5000</v>
      </c>
      <c r="C175" s="381" t="s">
        <v>246</v>
      </c>
    </row>
    <row r="176" spans="1:18" ht="14.7" thickBot="1" x14ac:dyDescent="0.6">
      <c r="A176" s="526" t="s">
        <v>961</v>
      </c>
      <c r="B176" s="532"/>
      <c r="C176" s="527"/>
    </row>
    <row r="177" spans="1:3" ht="14.7" thickBot="1" x14ac:dyDescent="0.6">
      <c r="A177" s="351" t="s">
        <v>726</v>
      </c>
      <c r="B177" s="286">
        <v>1.25</v>
      </c>
      <c r="C177" s="362" t="s">
        <v>5</v>
      </c>
    </row>
    <row r="178" spans="1:3" ht="14.7" thickBot="1" x14ac:dyDescent="0.6">
      <c r="A178" s="526" t="s">
        <v>962</v>
      </c>
      <c r="B178" s="532"/>
      <c r="C178" s="527"/>
    </row>
    <row r="179" spans="1:3" x14ac:dyDescent="0.55000000000000004">
      <c r="A179" s="354" t="s">
        <v>687</v>
      </c>
      <c r="B179" s="285">
        <v>1.5</v>
      </c>
      <c r="C179" s="376" t="s">
        <v>508</v>
      </c>
    </row>
    <row r="180" spans="1:3" ht="14.7" thickBot="1" x14ac:dyDescent="0.6">
      <c r="A180" s="354" t="s">
        <v>688</v>
      </c>
      <c r="B180" s="286">
        <v>1</v>
      </c>
      <c r="C180" s="362" t="s">
        <v>5</v>
      </c>
    </row>
    <row r="181" spans="1:3" ht="14.7" thickBot="1" x14ac:dyDescent="0.6">
      <c r="A181" s="526" t="s">
        <v>1009</v>
      </c>
      <c r="B181" s="532"/>
      <c r="C181" s="527"/>
    </row>
    <row r="182" spans="1:3" ht="16.8" x14ac:dyDescent="0.75">
      <c r="A182" s="354" t="s">
        <v>980</v>
      </c>
      <c r="B182" s="285">
        <v>10</v>
      </c>
      <c r="C182" s="376" t="s">
        <v>474</v>
      </c>
    </row>
    <row r="183" spans="1:3" ht="16.8" x14ac:dyDescent="0.75">
      <c r="A183" s="354" t="s">
        <v>981</v>
      </c>
      <c r="B183" s="453">
        <f>(((B182*1000)*B177)/(ABS(Vout1)-B177))/1000</f>
        <v>0.90909090909090917</v>
      </c>
      <c r="C183" s="362" t="s">
        <v>474</v>
      </c>
    </row>
    <row r="184" spans="1:3" ht="17.100000000000001" thickBot="1" x14ac:dyDescent="0.8">
      <c r="A184" s="354" t="s">
        <v>982</v>
      </c>
      <c r="B184" s="290">
        <v>3.33</v>
      </c>
      <c r="C184" s="363" t="s">
        <v>474</v>
      </c>
    </row>
    <row r="185" spans="1:3" ht="14.7" thickBot="1" x14ac:dyDescent="0.6">
      <c r="A185" s="526" t="s">
        <v>639</v>
      </c>
      <c r="B185" s="532"/>
      <c r="C185" s="527"/>
    </row>
    <row r="186" spans="1:3" ht="16.8" x14ac:dyDescent="0.75">
      <c r="A186" s="351" t="s">
        <v>977</v>
      </c>
      <c r="B186" s="352">
        <f>Flyback_CCM_Calc!B137/1000</f>
        <v>19.125</v>
      </c>
      <c r="C186" s="361" t="s">
        <v>474</v>
      </c>
    </row>
    <row r="187" spans="1:3" ht="16.8" x14ac:dyDescent="0.75">
      <c r="A187" s="315" t="s">
        <v>978</v>
      </c>
      <c r="B187" s="436">
        <f>Flyback_CCM_Calc!B138/1000</f>
        <v>1.2333770877671384</v>
      </c>
      <c r="C187" s="381" t="s">
        <v>730</v>
      </c>
    </row>
    <row r="188" spans="1:3" ht="16.8" x14ac:dyDescent="0.75">
      <c r="A188" s="315" t="s">
        <v>979</v>
      </c>
      <c r="B188" s="286">
        <v>1.89</v>
      </c>
      <c r="C188" s="381" t="s">
        <v>730</v>
      </c>
    </row>
    <row r="189" spans="1:3" ht="16.8" x14ac:dyDescent="0.75">
      <c r="A189" s="315" t="s">
        <v>990</v>
      </c>
      <c r="B189" s="355">
        <f>(1/(B182*1000*2*PI()*B166*1000))*10^9</f>
        <v>227.36420441699332</v>
      </c>
      <c r="C189" s="362" t="s">
        <v>445</v>
      </c>
    </row>
    <row r="190" spans="1:3" ht="16.8" x14ac:dyDescent="0.75">
      <c r="A190" s="354" t="s">
        <v>991</v>
      </c>
      <c r="B190" s="286">
        <v>220</v>
      </c>
      <c r="C190" s="362" t="s">
        <v>445</v>
      </c>
    </row>
    <row r="191" spans="1:3" ht="16.8" x14ac:dyDescent="0.75">
      <c r="A191" s="315" t="s">
        <v>992</v>
      </c>
      <c r="B191" s="355">
        <f>1/(2*PI()*B175*B168*1000)*(10^9)</f>
        <v>1.17892550438441</v>
      </c>
      <c r="C191" s="362" t="s">
        <v>445</v>
      </c>
    </row>
    <row r="192" spans="1:3" ht="16.8" x14ac:dyDescent="0.75">
      <c r="A192" s="354" t="s">
        <v>993</v>
      </c>
      <c r="B192" s="286">
        <v>1.224</v>
      </c>
      <c r="C192" s="362" t="s">
        <v>445</v>
      </c>
    </row>
    <row r="193" spans="1:4" x14ac:dyDescent="0.55000000000000004">
      <c r="A193" s="354" t="s">
        <v>734</v>
      </c>
      <c r="B193" s="355">
        <f>1/(B182*B190*(10^-9)*1000*2*PI())/1000</f>
        <v>7.2343155950861521E-2</v>
      </c>
      <c r="C193" s="362" t="s">
        <v>8</v>
      </c>
    </row>
    <row r="194" spans="1:4" ht="14.7" thickBot="1" x14ac:dyDescent="0.6">
      <c r="A194" s="356" t="s">
        <v>733</v>
      </c>
      <c r="B194" s="357">
        <f>(1/(B175*(B192*(10^-9)))/(2*PI()))/1000</f>
        <v>26.00570965553845</v>
      </c>
      <c r="C194" s="363" t="s">
        <v>8</v>
      </c>
    </row>
    <row r="195" spans="1:4" x14ac:dyDescent="0.55000000000000004">
      <c r="D195" s="315"/>
    </row>
    <row r="197" spans="1:4" x14ac:dyDescent="0.55000000000000004">
      <c r="A197" s="315"/>
      <c r="B197" s="315"/>
      <c r="C197" s="315"/>
    </row>
    <row r="198" spans="1:4" x14ac:dyDescent="0.55000000000000004">
      <c r="A198" s="315"/>
      <c r="B198" s="439"/>
      <c r="C198" s="315"/>
    </row>
    <row r="201" spans="1:4" ht="14.7" thickBot="1" x14ac:dyDescent="0.6"/>
    <row r="202" spans="1:4" ht="18.600000000000001" thickBot="1" x14ac:dyDescent="0.75">
      <c r="A202" s="497" t="s">
        <v>737</v>
      </c>
      <c r="B202" s="498"/>
      <c r="C202" s="499"/>
    </row>
    <row r="203" spans="1:4" ht="14.7" thickBot="1" x14ac:dyDescent="0.6">
      <c r="A203" s="529" t="s">
        <v>954</v>
      </c>
      <c r="B203" s="530"/>
      <c r="C203" s="531"/>
    </row>
    <row r="204" spans="1:4" x14ac:dyDescent="0.55000000000000004">
      <c r="A204" s="386" t="s">
        <v>727</v>
      </c>
      <c r="B204" s="405">
        <f>Flyback_CCM_Calc!B79</f>
        <v>1.25</v>
      </c>
      <c r="C204" s="407" t="s">
        <v>5</v>
      </c>
    </row>
    <row r="205" spans="1:4" x14ac:dyDescent="0.55000000000000004">
      <c r="A205" s="354" t="s">
        <v>676</v>
      </c>
      <c r="B205" s="403">
        <v>10</v>
      </c>
      <c r="C205" s="362" t="s">
        <v>474</v>
      </c>
    </row>
    <row r="206" spans="1:4" x14ac:dyDescent="0.55000000000000004">
      <c r="A206" s="354" t="s">
        <v>943</v>
      </c>
      <c r="B206" s="432">
        <f>(((B205*1000)*Flyback_CCM_Calc!B79)/(ABS(Vout1)-Flyback_CCM_Calc!B79))/1000</f>
        <v>0.90909090909090917</v>
      </c>
      <c r="C206" s="362" t="s">
        <v>474</v>
      </c>
    </row>
    <row r="207" spans="1:4" ht="14.7" thickBot="1" x14ac:dyDescent="0.6">
      <c r="A207" s="356" t="s">
        <v>788</v>
      </c>
      <c r="B207" s="401">
        <v>3.3</v>
      </c>
      <c r="C207" s="363" t="s">
        <v>474</v>
      </c>
    </row>
    <row r="208" spans="1:4" ht="14.7" thickBot="1" x14ac:dyDescent="0.6">
      <c r="A208" s="529" t="s">
        <v>955</v>
      </c>
      <c r="B208" s="530"/>
      <c r="C208" s="531"/>
    </row>
    <row r="209" spans="1:3" ht="16.8" x14ac:dyDescent="0.75">
      <c r="A209" s="354" t="s">
        <v>992</v>
      </c>
      <c r="B209" s="389">
        <f>Flyback_CCM_Calc!B151*(10^9)</f>
        <v>9.6937313686136575E-2</v>
      </c>
      <c r="C209" s="376" t="s">
        <v>445</v>
      </c>
    </row>
    <row r="210" spans="1:3" ht="16.8" x14ac:dyDescent="0.75">
      <c r="A210" s="354" t="s">
        <v>993</v>
      </c>
      <c r="B210" s="286">
        <v>0.15</v>
      </c>
      <c r="C210" s="362" t="s">
        <v>445</v>
      </c>
    </row>
    <row r="211" spans="1:3" ht="16.8" x14ac:dyDescent="0.75">
      <c r="A211" s="354" t="s">
        <v>990</v>
      </c>
      <c r="B211" s="355">
        <f>Flyback_CCM_Calc!B153*(10^9)</f>
        <v>37.293169393823682</v>
      </c>
      <c r="C211" s="362" t="s">
        <v>445</v>
      </c>
    </row>
    <row r="212" spans="1:3" ht="16.8" x14ac:dyDescent="0.75">
      <c r="A212" s="354" t="s">
        <v>991</v>
      </c>
      <c r="B212" s="286">
        <v>57.15</v>
      </c>
      <c r="C212" s="362" t="s">
        <v>445</v>
      </c>
    </row>
    <row r="213" spans="1:3" ht="16.8" x14ac:dyDescent="0.75">
      <c r="A213" s="354" t="s">
        <v>1007</v>
      </c>
      <c r="B213" s="355">
        <f>Flyback_CCM_Calc!B155/1000</f>
        <v>60.966715383179086</v>
      </c>
      <c r="C213" s="381" t="s">
        <v>730</v>
      </c>
    </row>
    <row r="214" spans="1:3" ht="16.8" x14ac:dyDescent="0.75">
      <c r="A214" s="354" t="s">
        <v>1008</v>
      </c>
      <c r="B214" s="286">
        <v>39.777999999999999</v>
      </c>
      <c r="C214" s="381" t="s">
        <v>730</v>
      </c>
    </row>
    <row r="215" spans="1:3" x14ac:dyDescent="0.55000000000000004">
      <c r="A215" s="354" t="s">
        <v>733</v>
      </c>
      <c r="B215" s="355">
        <f>1/(2*PI()*B214*1000*B210*(10^-9))/1000</f>
        <v>26.673863792698704</v>
      </c>
      <c r="C215" s="381" t="s">
        <v>8</v>
      </c>
    </row>
    <row r="216" spans="1:3" ht="14.7" thickBot="1" x14ac:dyDescent="0.6">
      <c r="A216" s="356" t="s">
        <v>734</v>
      </c>
      <c r="B216" s="357">
        <f>1/(2*PI()*B214*1000*B212*(10^-9))/1000</f>
        <v>7.0010141188185576E-2</v>
      </c>
      <c r="C216" s="406" t="s">
        <v>8</v>
      </c>
    </row>
    <row r="235" spans="1:2" x14ac:dyDescent="0.55000000000000004">
      <c r="A235" s="533"/>
      <c r="B235" s="533"/>
    </row>
    <row r="236" spans="1:2" x14ac:dyDescent="0.55000000000000004">
      <c r="A236" s="533"/>
      <c r="B236" s="533"/>
    </row>
  </sheetData>
  <sheetProtection password="E1A4" sheet="1" objects="1" scenarios="1"/>
  <mergeCells count="31">
    <mergeCell ref="A72:C72"/>
    <mergeCell ref="A29:C29"/>
    <mergeCell ref="A24:C24"/>
    <mergeCell ref="B40:C40"/>
    <mergeCell ref="B39:C39"/>
    <mergeCell ref="A235:B236"/>
    <mergeCell ref="A1:XFD2"/>
    <mergeCell ref="A66:C66"/>
    <mergeCell ref="A162:C162"/>
    <mergeCell ref="A136:C136"/>
    <mergeCell ref="A126:C126"/>
    <mergeCell ref="AI126:AK126"/>
    <mergeCell ref="F4:H4"/>
    <mergeCell ref="A34:C34"/>
    <mergeCell ref="B35:C35"/>
    <mergeCell ref="B36:C36"/>
    <mergeCell ref="B37:C37"/>
    <mergeCell ref="B38:C38"/>
    <mergeCell ref="A14:H14"/>
    <mergeCell ref="A161:C161"/>
    <mergeCell ref="A176:C176"/>
    <mergeCell ref="L172:R172"/>
    <mergeCell ref="A78:C78"/>
    <mergeCell ref="A203:C203"/>
    <mergeCell ref="A208:C208"/>
    <mergeCell ref="A172:C172"/>
    <mergeCell ref="A202:C202"/>
    <mergeCell ref="A178:C178"/>
    <mergeCell ref="A185:C185"/>
    <mergeCell ref="A173:C173"/>
    <mergeCell ref="A181:C181"/>
  </mergeCells>
  <conditionalFormatting sqref="B35:C39">
    <cfRule type="cellIs" dxfId="16" priority="1" operator="equal">
      <formula>0</formula>
    </cfRule>
    <cfRule type="cellIs" dxfId="15" priority="2" operator="equal">
      <formula>1</formula>
    </cfRule>
  </conditionalFormatting>
  <pageMargins left="0.7" right="0.7" top="0.75" bottom="0.75" header="0.3" footer="0.3"/>
  <pageSetup orientation="portrait" r:id="rId1"/>
  <ignoredErrors>
    <ignoredError sqref="B187" unlockedFormula="1"/>
  </ignoredErrors>
  <drawing r:id="rId2"/>
  <legacyDrawing r:id="rId3"/>
  <oleObjects>
    <mc:AlternateContent xmlns:mc="http://schemas.openxmlformats.org/markup-compatibility/2006">
      <mc:Choice Requires="x14">
        <oleObject progId="Visio.Drawing.11" shapeId="30744" r:id="rId4">
          <objectPr defaultSize="0" autoPict="0" r:id="rId5">
            <anchor moveWithCells="1">
              <from>
                <xdr:col>0</xdr:col>
                <xdr:colOff>0</xdr:colOff>
                <xdr:row>2</xdr:row>
                <xdr:rowOff>76200</xdr:rowOff>
              </from>
              <to>
                <xdr:col>4</xdr:col>
                <xdr:colOff>190500</xdr:colOff>
                <xdr:row>12</xdr:row>
                <xdr:rowOff>30480</xdr:rowOff>
              </to>
            </anchor>
          </objectPr>
        </oleObject>
      </mc:Choice>
      <mc:Fallback>
        <oleObject progId="Visio.Drawing.11" shapeId="30744" r:id="rId4"/>
      </mc:Fallback>
    </mc:AlternateContent>
    <mc:AlternateContent xmlns:mc="http://schemas.openxmlformats.org/markup-compatibility/2006">
      <mc:Choice Requires="x14">
        <oleObject progId="Visio.Drawing.11" shapeId="30748" r:id="rId6">
          <objectPr defaultSize="0" autoPict="0" r:id="rId7">
            <anchor moveWithCells="1">
              <from>
                <xdr:col>4</xdr:col>
                <xdr:colOff>19050</xdr:colOff>
                <xdr:row>70</xdr:row>
                <xdr:rowOff>182880</xdr:rowOff>
              </from>
              <to>
                <xdr:col>10</xdr:col>
                <xdr:colOff>0</xdr:colOff>
                <xdr:row>85</xdr:row>
                <xdr:rowOff>95250</xdr:rowOff>
              </to>
            </anchor>
          </objectPr>
        </oleObject>
      </mc:Choice>
      <mc:Fallback>
        <oleObject progId="Visio.Drawing.11" shapeId="30748" r:id="rId6"/>
      </mc:Fallback>
    </mc:AlternateContent>
  </oleObjects>
  <extLst>
    <ext xmlns:x14="http://schemas.microsoft.com/office/spreadsheetml/2009/9/main" uri="{CCE6A557-97BC-4b89-ADB6-D9C93CAAB3DF}">
      <x14:dataValidations xmlns:xm="http://schemas.microsoft.com/office/excel/2006/main" count="1">
        <x14:dataValidation type="list" showInputMessage="1" showErrorMessage="1">
          <x14:formula1>
            <xm:f>Constants!$H$4:$H$8</xm:f>
          </x14:formula1>
          <xm:sqref>B40:C40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159"/>
  <sheetViews>
    <sheetView topLeftCell="A111" zoomScale="70" zoomScaleNormal="70" workbookViewId="0">
      <selection activeCell="A157" sqref="A157"/>
    </sheetView>
  </sheetViews>
  <sheetFormatPr defaultRowHeight="14.4" x14ac:dyDescent="0.55000000000000004"/>
  <cols>
    <col min="1" max="1" width="28.68359375" bestFit="1" customWidth="1"/>
    <col min="2" max="2" width="14.83984375" bestFit="1" customWidth="1"/>
    <col min="3" max="3" width="3.15625" bestFit="1" customWidth="1"/>
    <col min="4" max="4" width="12" bestFit="1" customWidth="1"/>
    <col min="6" max="6" width="9.578125" bestFit="1" customWidth="1"/>
    <col min="8" max="8" width="9.578125" bestFit="1" customWidth="1"/>
    <col min="10" max="10" width="9.578125" bestFit="1" customWidth="1"/>
    <col min="14" max="14" width="12" bestFit="1" customWidth="1"/>
    <col min="16" max="16" width="9.15625" customWidth="1"/>
    <col min="17" max="17" width="9.578125" bestFit="1" customWidth="1"/>
    <col min="18" max="18" width="9.578125" customWidth="1"/>
    <col min="22" max="22" width="9.578125" style="9" customWidth="1"/>
    <col min="23" max="28" width="8.83984375" style="9"/>
    <col min="29" max="29" width="9.578125" style="9" bestFit="1" customWidth="1"/>
    <col min="30" max="30" width="9.578125" style="9" customWidth="1"/>
    <col min="31" max="31" width="9.578125" style="9" bestFit="1" customWidth="1"/>
    <col min="32" max="32" width="9.578125" style="9" customWidth="1"/>
    <col min="33" max="33" width="9.578125" style="9" bestFit="1" customWidth="1"/>
    <col min="34" max="34" width="9.578125" style="9" customWidth="1"/>
    <col min="35" max="35" width="9.578125" style="9" bestFit="1" customWidth="1"/>
    <col min="36" max="47" width="9.578125" style="9" customWidth="1"/>
    <col min="48" max="48" width="11" style="9" customWidth="1"/>
    <col min="49" max="61" width="9.578125" style="9" customWidth="1"/>
    <col min="76" max="76" width="9.578125" customWidth="1"/>
    <col min="77" max="78" width="12.15625" customWidth="1"/>
    <col min="79" max="79" width="11.83984375" bestFit="1" customWidth="1"/>
    <col min="80" max="80" width="11" bestFit="1" customWidth="1"/>
    <col min="81" max="81" width="12.15625" customWidth="1"/>
    <col min="82" max="83" width="12" customWidth="1"/>
    <col min="84" max="85" width="11.15625" customWidth="1"/>
    <col min="86" max="89" width="11.578125" customWidth="1"/>
    <col min="90" max="91" width="11" customWidth="1"/>
    <col min="92" max="96" width="10.15625" customWidth="1"/>
    <col min="100" max="100" width="10.578125" bestFit="1" customWidth="1"/>
    <col min="105" max="106" width="12.26171875" customWidth="1"/>
    <col min="107" max="107" width="11.26171875" customWidth="1"/>
    <col min="108" max="108" width="10.68359375" customWidth="1"/>
    <col min="109" max="109" width="9.578125" bestFit="1" customWidth="1"/>
    <col min="111" max="111" width="9.578125" bestFit="1" customWidth="1"/>
    <col min="114" max="114" width="12.578125" bestFit="1" customWidth="1"/>
    <col min="117" max="117" width="13.578125" bestFit="1" customWidth="1"/>
    <col min="118" max="118" width="12.83984375" bestFit="1" customWidth="1"/>
    <col min="119" max="119" width="13.578125" bestFit="1" customWidth="1"/>
    <col min="120" max="120" width="12.83984375" bestFit="1" customWidth="1"/>
    <col min="121" max="121" width="13.578125" bestFit="1" customWidth="1"/>
    <col min="122" max="122" width="12.83984375" bestFit="1" customWidth="1"/>
    <col min="123" max="123" width="13.578125" bestFit="1" customWidth="1"/>
    <col min="124" max="124" width="11.15625" customWidth="1"/>
    <col min="125" max="125" width="13.578125" bestFit="1" customWidth="1"/>
    <col min="127" max="127" width="13.83984375" bestFit="1" customWidth="1"/>
  </cols>
  <sheetData>
    <row r="1" spans="1:128" ht="15.75" thickBot="1" x14ac:dyDescent="0.3">
      <c r="M1" s="11" t="s">
        <v>69</v>
      </c>
      <c r="N1" s="11"/>
      <c r="O1" s="11"/>
      <c r="P1" s="11"/>
      <c r="Q1" s="11"/>
      <c r="R1" s="11"/>
      <c r="S1" s="11"/>
      <c r="T1" s="11"/>
      <c r="U1" s="11"/>
      <c r="V1" s="11">
        <v>1</v>
      </c>
      <c r="W1" s="11">
        <v>2</v>
      </c>
      <c r="X1" s="11">
        <v>3</v>
      </c>
      <c r="Y1" s="11">
        <v>4</v>
      </c>
      <c r="Z1" s="11">
        <v>5</v>
      </c>
      <c r="AA1" s="11">
        <v>6</v>
      </c>
      <c r="AB1" s="11">
        <v>7</v>
      </c>
      <c r="AC1" s="11">
        <v>8</v>
      </c>
      <c r="AD1" s="11">
        <v>9</v>
      </c>
      <c r="AE1" s="11">
        <v>10</v>
      </c>
      <c r="AF1" s="11">
        <v>11</v>
      </c>
      <c r="AG1" s="11">
        <v>12</v>
      </c>
      <c r="AH1" s="11">
        <v>13</v>
      </c>
      <c r="AI1" s="11">
        <v>14</v>
      </c>
      <c r="AJ1" s="11">
        <v>15</v>
      </c>
      <c r="AK1" s="11">
        <v>16</v>
      </c>
      <c r="AL1" s="11">
        <v>17</v>
      </c>
      <c r="AM1" s="13"/>
      <c r="AN1" s="71" t="s">
        <v>216</v>
      </c>
      <c r="AO1" s="71"/>
      <c r="AP1" s="71"/>
      <c r="AQ1" s="71"/>
      <c r="AR1" s="13"/>
      <c r="AS1" s="13"/>
      <c r="AT1" s="13"/>
      <c r="AU1" s="13"/>
      <c r="AV1" s="13"/>
      <c r="AW1" s="13"/>
      <c r="AX1" s="13"/>
      <c r="AY1" s="13"/>
      <c r="AZ1" s="13"/>
      <c r="BA1" s="13"/>
      <c r="BB1" s="13"/>
      <c r="BC1" s="13"/>
      <c r="BD1" s="13"/>
      <c r="BE1" s="13"/>
      <c r="BF1" s="13"/>
      <c r="BG1" s="13"/>
      <c r="BH1" s="13"/>
      <c r="BI1" s="13"/>
      <c r="BJ1" s="11"/>
      <c r="CZ1" s="525" t="s">
        <v>635</v>
      </c>
      <c r="DA1" s="525"/>
      <c r="DB1" s="525"/>
      <c r="DC1" s="525"/>
      <c r="DD1" s="525"/>
      <c r="DE1" s="525"/>
      <c r="DF1" s="525"/>
      <c r="DG1" s="525"/>
      <c r="DH1" s="525"/>
      <c r="DI1" s="525"/>
      <c r="DJ1" s="525"/>
      <c r="DK1" s="525"/>
      <c r="DL1" s="525"/>
      <c r="DM1" s="525"/>
      <c r="DN1" s="525"/>
      <c r="DO1" s="525"/>
      <c r="DP1" s="525"/>
      <c r="DQ1" s="525"/>
      <c r="DR1" s="525"/>
      <c r="DS1" s="525"/>
      <c r="DT1" s="525"/>
      <c r="DU1" s="525"/>
      <c r="DV1" s="525"/>
      <c r="DW1" s="525"/>
      <c r="DX1" s="525"/>
    </row>
    <row r="2" spans="1:128" ht="15.75" thickBot="1" x14ac:dyDescent="0.3">
      <c r="N2" t="s">
        <v>30</v>
      </c>
      <c r="W2" s="555"/>
      <c r="X2" s="555"/>
      <c r="AG2" s="9" t="s">
        <v>351</v>
      </c>
      <c r="AN2" s="71" t="s">
        <v>352</v>
      </c>
      <c r="AO2" s="71"/>
      <c r="AP2" s="71"/>
      <c r="AQ2" s="71"/>
      <c r="AR2" s="553" t="s">
        <v>214</v>
      </c>
      <c r="AS2" s="554"/>
      <c r="AT2" s="553" t="s">
        <v>265</v>
      </c>
      <c r="AU2" s="554"/>
      <c r="BQ2" s="522" t="s">
        <v>619</v>
      </c>
      <c r="BR2" s="522"/>
      <c r="BS2" s="522"/>
      <c r="BT2" s="522"/>
      <c r="BU2" s="522"/>
      <c r="BV2" s="522"/>
      <c r="BW2" s="522"/>
      <c r="BX2" s="522"/>
      <c r="BY2" s="522"/>
      <c r="BZ2" s="203"/>
      <c r="CA2" s="203"/>
      <c r="CB2" s="203"/>
      <c r="CC2" s="203"/>
      <c r="CD2" s="203"/>
      <c r="CE2" s="283"/>
      <c r="CF2" s="203"/>
      <c r="CG2" s="283"/>
      <c r="CH2" s="203"/>
      <c r="CI2" s="283"/>
      <c r="CJ2" s="203"/>
      <c r="CK2" s="283"/>
      <c r="CL2" s="203"/>
      <c r="CM2" s="283"/>
      <c r="CN2" s="203"/>
      <c r="CO2" s="283"/>
      <c r="CP2" s="203"/>
      <c r="CQ2" s="283"/>
      <c r="CR2" s="203"/>
      <c r="CT2" t="s">
        <v>919</v>
      </c>
      <c r="CW2" t="s">
        <v>442</v>
      </c>
      <c r="DC2" s="518" t="s">
        <v>670</v>
      </c>
      <c r="DD2" s="519"/>
      <c r="DE2" s="519"/>
      <c r="DF2" s="519"/>
      <c r="DG2" s="519"/>
      <c r="DH2" s="552"/>
      <c r="DI2" s="518" t="s">
        <v>671</v>
      </c>
      <c r="DJ2" s="552"/>
      <c r="DK2" s="519" t="s">
        <v>524</v>
      </c>
      <c r="DL2" s="552"/>
      <c r="DM2" s="518" t="s">
        <v>750</v>
      </c>
      <c r="DN2" s="519"/>
      <c r="DO2" s="519"/>
      <c r="DP2" s="519"/>
      <c r="DQ2" s="519"/>
      <c r="DR2" s="552"/>
      <c r="DS2" s="518" t="s">
        <v>524</v>
      </c>
      <c r="DT2" s="519"/>
      <c r="DU2" s="519"/>
      <c r="DV2" s="519"/>
      <c r="DW2" s="519"/>
      <c r="DX2" s="552"/>
    </row>
    <row r="3" spans="1:128" s="14" customFormat="1" ht="75.75" thickBot="1" x14ac:dyDescent="0.3">
      <c r="L3" s="14" t="s">
        <v>28</v>
      </c>
      <c r="M3" s="66" t="s">
        <v>29</v>
      </c>
      <c r="N3" s="67" t="s">
        <v>51</v>
      </c>
      <c r="O3" s="67" t="s">
        <v>50</v>
      </c>
      <c r="P3" s="67" t="s">
        <v>52</v>
      </c>
      <c r="Q3" s="67" t="s">
        <v>68</v>
      </c>
      <c r="R3" s="68" t="s">
        <v>225</v>
      </c>
      <c r="S3" s="56" t="s">
        <v>87</v>
      </c>
      <c r="T3" s="57" t="s">
        <v>70</v>
      </c>
      <c r="U3" s="57" t="s">
        <v>71</v>
      </c>
      <c r="V3" s="51" t="s">
        <v>139</v>
      </c>
      <c r="W3" s="50" t="s">
        <v>75</v>
      </c>
      <c r="X3" s="51" t="s">
        <v>264</v>
      </c>
      <c r="Y3" s="50" t="s">
        <v>113</v>
      </c>
      <c r="Z3" s="51" t="s">
        <v>219</v>
      </c>
      <c r="AA3" s="50" t="s">
        <v>114</v>
      </c>
      <c r="AB3" s="51" t="s">
        <v>224</v>
      </c>
      <c r="AC3" s="50" t="s">
        <v>115</v>
      </c>
      <c r="AD3" s="51" t="s">
        <v>223</v>
      </c>
      <c r="AE3" s="50" t="s">
        <v>116</v>
      </c>
      <c r="AF3" s="51" t="s">
        <v>222</v>
      </c>
      <c r="AG3" s="50" t="s">
        <v>118</v>
      </c>
      <c r="AH3" s="51" t="s">
        <v>221</v>
      </c>
      <c r="AI3" s="50" t="s">
        <v>117</v>
      </c>
      <c r="AJ3" s="73" t="s">
        <v>220</v>
      </c>
      <c r="AK3" s="50" t="s">
        <v>403</v>
      </c>
      <c r="AL3" s="51" t="s">
        <v>404</v>
      </c>
      <c r="AM3" s="178" t="s">
        <v>194</v>
      </c>
      <c r="AN3" s="50" t="s">
        <v>213</v>
      </c>
      <c r="AO3" s="73" t="s">
        <v>208</v>
      </c>
      <c r="AP3" s="76"/>
      <c r="AQ3" s="77" t="s">
        <v>209</v>
      </c>
      <c r="AR3" s="72" t="s">
        <v>213</v>
      </c>
      <c r="AS3" s="49" t="s">
        <v>217</v>
      </c>
      <c r="AT3" s="48" t="s">
        <v>213</v>
      </c>
      <c r="AU3" s="72" t="s">
        <v>218</v>
      </c>
      <c r="AV3" s="81" t="s">
        <v>249</v>
      </c>
      <c r="AW3" s="82" t="s">
        <v>250</v>
      </c>
      <c r="AX3" s="50" t="s">
        <v>251</v>
      </c>
      <c r="AY3" s="51" t="s">
        <v>252</v>
      </c>
      <c r="AZ3" s="50" t="s">
        <v>253</v>
      </c>
      <c r="BA3" s="51" t="s">
        <v>254</v>
      </c>
      <c r="BB3" s="50" t="s">
        <v>255</v>
      </c>
      <c r="BC3" s="51" t="s">
        <v>256</v>
      </c>
      <c r="BD3" s="50" t="s">
        <v>257</v>
      </c>
      <c r="BE3" s="51" t="s">
        <v>258</v>
      </c>
      <c r="BF3" s="50" t="s">
        <v>259</v>
      </c>
      <c r="BG3" s="51" t="s">
        <v>260</v>
      </c>
      <c r="BH3" s="50" t="s">
        <v>261</v>
      </c>
      <c r="BI3" s="51" t="s">
        <v>262</v>
      </c>
      <c r="BJ3" s="50" t="s">
        <v>413</v>
      </c>
      <c r="BK3" s="73" t="s">
        <v>414</v>
      </c>
      <c r="BL3" s="50" t="s">
        <v>454</v>
      </c>
      <c r="BM3" s="73" t="s">
        <v>455</v>
      </c>
      <c r="BN3" s="73" t="s">
        <v>456</v>
      </c>
      <c r="BO3" s="73" t="s">
        <v>457</v>
      </c>
      <c r="BP3" s="51" t="s">
        <v>458</v>
      </c>
      <c r="BQ3" s="81" t="s">
        <v>567</v>
      </c>
      <c r="BR3" s="160" t="s">
        <v>568</v>
      </c>
      <c r="BS3" s="160" t="s">
        <v>569</v>
      </c>
      <c r="BT3" s="160" t="s">
        <v>570</v>
      </c>
      <c r="BU3" s="160" t="s">
        <v>571</v>
      </c>
      <c r="BV3" s="160" t="s">
        <v>572</v>
      </c>
      <c r="BW3" s="160" t="s">
        <v>573</v>
      </c>
      <c r="BX3" s="160" t="s">
        <v>613</v>
      </c>
      <c r="BY3" s="230" t="s">
        <v>614</v>
      </c>
      <c r="BZ3" s="81" t="s">
        <v>620</v>
      </c>
      <c r="CA3" s="160" t="s">
        <v>621</v>
      </c>
      <c r="CB3" s="160" t="s">
        <v>551</v>
      </c>
      <c r="CC3" s="230" t="s">
        <v>622</v>
      </c>
      <c r="CD3" s="81" t="s">
        <v>553</v>
      </c>
      <c r="CE3" s="160" t="s">
        <v>920</v>
      </c>
      <c r="CF3" s="160" t="s">
        <v>554</v>
      </c>
      <c r="CG3" s="160" t="s">
        <v>920</v>
      </c>
      <c r="CH3" s="160" t="s">
        <v>555</v>
      </c>
      <c r="CI3" s="160" t="s">
        <v>920</v>
      </c>
      <c r="CJ3" s="160" t="s">
        <v>556</v>
      </c>
      <c r="CK3" s="160" t="s">
        <v>920</v>
      </c>
      <c r="CL3" s="160" t="s">
        <v>557</v>
      </c>
      <c r="CM3" s="160" t="s">
        <v>920</v>
      </c>
      <c r="CN3" s="160" t="s">
        <v>558</v>
      </c>
      <c r="CO3" s="160" t="s">
        <v>920</v>
      </c>
      <c r="CP3" s="160" t="s">
        <v>623</v>
      </c>
      <c r="CQ3" s="160" t="s">
        <v>920</v>
      </c>
      <c r="CR3" s="230" t="s">
        <v>624</v>
      </c>
      <c r="CS3" s="129" t="s">
        <v>462</v>
      </c>
      <c r="CT3" s="66" t="s">
        <v>610</v>
      </c>
      <c r="CU3" s="67" t="s">
        <v>594</v>
      </c>
      <c r="CV3" s="68" t="s">
        <v>9</v>
      </c>
      <c r="CW3" s="14" t="s">
        <v>443</v>
      </c>
      <c r="CX3" s="14" t="s">
        <v>444</v>
      </c>
      <c r="CZ3" s="14" t="s">
        <v>636</v>
      </c>
      <c r="DA3" s="14" t="s">
        <v>637</v>
      </c>
      <c r="DB3" s="14" t="s">
        <v>638</v>
      </c>
      <c r="DC3" s="66" t="s">
        <v>640</v>
      </c>
      <c r="DD3" s="68" t="s">
        <v>641</v>
      </c>
      <c r="DE3" s="66" t="s">
        <v>642</v>
      </c>
      <c r="DF3" s="68" t="s">
        <v>643</v>
      </c>
      <c r="DG3" s="67" t="s">
        <v>644</v>
      </c>
      <c r="DH3" s="68" t="s">
        <v>645</v>
      </c>
      <c r="DI3" s="257" t="s">
        <v>672</v>
      </c>
      <c r="DJ3" s="256" t="s">
        <v>673</v>
      </c>
      <c r="DK3" s="255" t="s">
        <v>674</v>
      </c>
      <c r="DL3" s="256" t="s">
        <v>673</v>
      </c>
      <c r="DM3" s="66" t="s">
        <v>744</v>
      </c>
      <c r="DN3" s="67" t="s">
        <v>745</v>
      </c>
      <c r="DO3" s="66" t="s">
        <v>746</v>
      </c>
      <c r="DP3" s="68" t="s">
        <v>747</v>
      </c>
      <c r="DQ3" s="67" t="s">
        <v>748</v>
      </c>
      <c r="DR3" s="68" t="s">
        <v>749</v>
      </c>
      <c r="DS3" s="66" t="s">
        <v>744</v>
      </c>
      <c r="DT3" s="67" t="s">
        <v>745</v>
      </c>
      <c r="DU3" s="66" t="s">
        <v>746</v>
      </c>
      <c r="DV3" s="68" t="s">
        <v>747</v>
      </c>
      <c r="DW3" s="67" t="s">
        <v>748</v>
      </c>
      <c r="DX3" s="68" t="s">
        <v>749</v>
      </c>
    </row>
    <row r="4" spans="1:128" ht="15.75" thickBot="1" x14ac:dyDescent="0.3">
      <c r="A4" s="525" t="s">
        <v>290</v>
      </c>
      <c r="B4" s="525"/>
      <c r="L4" s="58">
        <v>0</v>
      </c>
      <c r="M4" s="59">
        <f t="shared" ref="M4:M35" si="0">VinMin+(L4*DC_Step)</f>
        <v>6</v>
      </c>
      <c r="N4" s="40">
        <f t="shared" ref="N4:N35" si="1">(M4*Q4)/(S4*0.9*RR*Fsw)</f>
        <v>3.3778946599459415E-5</v>
      </c>
      <c r="O4" s="26">
        <f t="shared" ref="O4:O35" si="2">(M4*Q4)/(S4*RR*Fsw)</f>
        <v>3.0401051939513477E-5</v>
      </c>
      <c r="P4" s="41">
        <f t="shared" ref="P4:P35" si="3">(M4*Q4)/(S4*1.1*RR*Fsw)</f>
        <v>2.7637319945012246E-5</v>
      </c>
      <c r="Q4" s="60">
        <f t="shared" ref="Q4:Q35" si="4">IF(AND(Vout1&lt;&gt;0),(Np*(ABS(Vout1)+Vdiode1))/((Ns1_Flyback*M4)+(Np*(ABS(Vout1)+Vdiode1))),0)</f>
        <v>0.87179487179487181</v>
      </c>
      <c r="R4" s="61">
        <f t="shared" ref="R4:R35" si="5">(Pout_Flyback)/(eff*M4)</f>
        <v>1.25</v>
      </c>
      <c r="S4" s="28">
        <f t="shared" ref="S4:S35" si="6">(Pout_Flyback)/(eff*Q4*M4)</f>
        <v>1.4338235294117647</v>
      </c>
      <c r="T4" s="12">
        <f t="shared" ref="T4:T35" si="7">(M4*Q4)/(Lm_Flyback_CCM*Fsw)</f>
        <v>0.10897435897435899</v>
      </c>
      <c r="U4" s="12">
        <f>(S4+(0.5*T4))</f>
        <v>1.4883107088989442</v>
      </c>
      <c r="V4" s="55">
        <f t="shared" ref="V4:V35" si="8">SUM(W4,(Ns1_Flyback/Np)*Y4,(Ns2_Flyback/Np)*AA4,(Ns3_Flyback/Np)*AC4,(Ns4_Flyback/Np)*AE4,(Ns5_Flyback/Np)*AG4,(Ns6_Flyback/Np)*AI4,(NsAux_Flyback/Np)*AK4)</f>
        <v>1.8628580061841289</v>
      </c>
      <c r="W4" s="54">
        <f>S4*SQRT(Q4)*SQRT(1+((1/3)*((T4/(2*S4))^2)))</f>
        <v>1.3390825797136774</v>
      </c>
      <c r="X4" s="55">
        <f>SQRT((W4^2)-(R4^2))</f>
        <v>0.48025217885256616</v>
      </c>
      <c r="Y4" s="54">
        <f t="shared" ref="Y4:Y35" si="9">IF(AND(Vout1&lt;&gt;0,Iout1&lt;&gt;0,Ns1_Flyback&lt;&gt;0),(Iout1/(1-Q4))*SQRT(1-Q4)*SQRT(1+((1/3)*((ABS(Vout1)*(1-Q4)/(Lm_Flyback_CCM*Fsw*((Ns1_Flyback/Np)^2)))/((2*Iout1/(1-Q4))))^2)),0)</f>
        <v>1.3967344705878706</v>
      </c>
      <c r="Z4" s="55">
        <f>IF(AND(Iout1&lt;&gt;0,Vout1&lt;&gt;0),SQRT((Y4^2)-(Iout1^2)),0)</f>
        <v>1.3041729875014201</v>
      </c>
      <c r="AA4" s="54">
        <f t="shared" ref="AA4:AA35" si="10">IF(AND(Vout2&lt;&gt;0,Iout2&lt;&gt;0,Ns2_Flyback&lt;&gt;0),(Iout2/(1-Q4))*SQRT(1-Q4)*SQRT(1+((1/3)*((ABS(Vout2)*(1-Q4)/(Lm_Flyback_CCM*Fsw*((Ns2_Flyback/Np)^2)))/((2*Iout2/(1-Q4))))^2)),0)</f>
        <v>0</v>
      </c>
      <c r="AB4" s="55">
        <f>IF(AND(Iout2&lt;&gt;0,Vout2&lt;&gt;0),SQRT((AA4^2)-(Iout2^2)),0)</f>
        <v>0</v>
      </c>
      <c r="AC4" s="54">
        <f t="shared" ref="AC4:AC35" si="11">IF(AND(Vout3&lt;&gt;0,Iout3&lt;&gt;0,Ns3_Flyback&lt;&gt;0),(Iout3/(1-Q4))*SQRT(1-Q4)*SQRT(1+((1/3)*((ABS(Vout3)*(1-Q4)/(Lm_Flyback_CCM*Fsw*((Ns3_Flyback/Np)^2)))/((2*Iout3/(1-Q4))))^2)),0)</f>
        <v>0</v>
      </c>
      <c r="AD4" s="55">
        <f>IF(AND(Iout3&lt;&gt;0,Vout3&lt;&gt;0),SQRT((AC4^2)-(Iout3^2)),0)</f>
        <v>0</v>
      </c>
      <c r="AE4" s="54">
        <f t="shared" ref="AE4:AE35" si="12">IF(AND(Vout4&lt;&gt;0,Iout4&lt;&gt;0,Ns4_Flyback&lt;&gt;0),(Iout4/(1-Q4))*SQRT(1-Q4)*SQRT(1+((1/3)*((ABS(Vout4)*(1-Q4)/(Lm_Flyback_CCM*Fsw*((Ns4_Flyback/Np)^2)))/((2*Iout4/(1-Q4))))^2)),0)</f>
        <v>0</v>
      </c>
      <c r="AF4" s="55">
        <f>IF(AND(Iout4&lt;&gt;0,Vout4&lt;&gt;0),SQRT((AE4^2)-(Iout4^2)),0)</f>
        <v>0</v>
      </c>
      <c r="AG4" s="54">
        <f t="shared" ref="AG4:AG35" si="13">IF(AND(Vout5&lt;&gt;0,Iout5&lt;&gt;0,Ns5_Flyback&lt;&gt;0),(Iout5/(1-Q4))*SQRT(1-Q4)*SQRT(1+((1/3)*((ABS(Vout5)*(1-Q4)/(Lm_Flyback_CCM*Fsw*((Ns5_Flyback/Np)^2)))/((2*Iout5/(1-Q4))))^2)),0)</f>
        <v>0</v>
      </c>
      <c r="AH4" s="55">
        <f>IF(AND(Iout5&lt;&gt;0,Vout5&lt;&gt;0),SQRT((AG4^2)-(Iout5^2)),0)</f>
        <v>0</v>
      </c>
      <c r="AI4" s="54">
        <f>IF(AND(Vout6&lt;&gt;0,Iout6&lt;&gt;0,Ns6_Flyback&lt;&gt;0),(Iout6/(1-Q4))*SQRT(1-Q4)*SQRT(1+((1/3)*((ABS(Vout6)*(1-Q4)/(Lm_Flyback_CCM*Fsw*((Ns6_Flyback/Np)^2)))/((2*Iout6/(1-Q4))))^2)),0)</f>
        <v>0</v>
      </c>
      <c r="AJ4" s="177">
        <f>IF(AND(Iout6&lt;&gt;0,Vout6&lt;&gt;0),SQRT((AI4^2)-(Iout6^2)),0)</f>
        <v>0</v>
      </c>
      <c r="AK4" s="54">
        <f t="shared" ref="AK4:AK35" si="14">IF(AND(VOUTAUX&lt;&gt;0,IoutAux&lt;&gt;0,NsAux_Flyback&lt;&gt;0),(IoutAux/(1-Q4))*SQRT(1-Q4)*SQRT(1+((1/3)*((ABS(VOUTAUX)*(1-Q4)/(Lm_Flyback_CCM*Fsw*((NsAux_Flyback/Np)^2)))/((2*IoutAux/(1-Q4))))^2)),0)</f>
        <v>0</v>
      </c>
      <c r="AL4" s="55">
        <f t="shared" ref="AL4:AL35" si="15">IF(AND(IoutAux&lt;&gt;0,VOUTAUX&lt;&gt;0),SQRT((AK4^2)-(IoutAux^2)),0)</f>
        <v>0</v>
      </c>
      <c r="AM4" s="179">
        <f t="shared" ref="AM4:AM35" si="16">((M4*Q4)/(2*Np_T_Flyback_CCM*(Ae_Flyback_CCM/100)*Fsw))*(10^4)</f>
        <v>1.8857773562510744E-2</v>
      </c>
      <c r="AN4" s="52">
        <f t="shared" ref="AN4:AN35" si="17">CM_3F35*(Fsw^x_3F35)*(AM4^y_3F35)*(TC_3F35)</f>
        <v>0</v>
      </c>
      <c r="AO4" s="74">
        <f>AN4*(Ve_Flyback_CCM/1000)</f>
        <v>0</v>
      </c>
      <c r="AP4" s="78">
        <v>0</v>
      </c>
      <c r="AQ4" s="87">
        <f t="shared" ref="AQ4:AQ35" si="18">CM_3F36*(Fsw^x_3F36)*(AM4^y_3F36)*(TC_3F36)*(Ve_Flyback_CCM/1000)</f>
        <v>0</v>
      </c>
      <c r="AR4" s="46">
        <f t="shared" ref="AR4:AR35" si="19">CM_3C92*(Fsw^x_3C92)*(AM4^y_3C92)*(TC_3C92)/1000</f>
        <v>5.7161429357467179</v>
      </c>
      <c r="AS4" s="69">
        <f t="shared" ref="AS4:AS35" si="20">(Ve_Flyback_CCM/1000)*AR4/1000</f>
        <v>4.2871072018100384E-3</v>
      </c>
      <c r="AT4" s="42">
        <f t="shared" ref="AT4:AT35" si="21">(CM_3C96*(Fsw^x_3C96)*(AM4^y_3C96)*(TC_3C96))/1000</f>
        <v>7.5732962529056236</v>
      </c>
      <c r="AU4" s="79">
        <f t="shared" ref="AU4:AU35" si="22">((Ve_Flyback_CCM/1000)*AT4)/1000</f>
        <v>5.6799721896792178E-3</v>
      </c>
      <c r="AV4" s="83">
        <f>RdcPri_Flyback_CCM*(R4^2)</f>
        <v>0.16806261552680218</v>
      </c>
      <c r="AW4" s="84">
        <f>RacPri_Flyback_CCM*(X4^2)</f>
        <v>2.4807887276300469E-2</v>
      </c>
      <c r="AX4" s="42">
        <f t="shared" ref="AX4:AX35" si="23">Rdc1_Flyback_CCM*(Iout1^2)</f>
        <v>2.639489953632148E-2</v>
      </c>
      <c r="AY4" s="43">
        <f>Rac1_Flyback_CCM*(Z4^2)</f>
        <v>0.17957687350315543</v>
      </c>
      <c r="AZ4" s="85">
        <f t="shared" ref="AZ4:AZ35" si="24">Rdc2_Flyback_CCM*(Iout2^2)</f>
        <v>0</v>
      </c>
      <c r="BA4" s="86">
        <f>Rac2_Flyback_CCM*(AB4^2)</f>
        <v>0</v>
      </c>
      <c r="BB4" s="85">
        <f t="shared" ref="BB4:BB35" si="25">Rdc3_Flyback_CCM*(Iout3^2)</f>
        <v>0</v>
      </c>
      <c r="BC4" s="86">
        <f>Rac3_Flyback_CCM*(AD4^2)</f>
        <v>0</v>
      </c>
      <c r="BD4" s="85">
        <f t="shared" ref="BD4:BD35" si="26">Rdc4_Flyback_CCM*(Iout4^2)</f>
        <v>0</v>
      </c>
      <c r="BE4" s="86">
        <f>Rac4_Flyback_CCM*(AF4^2)</f>
        <v>0</v>
      </c>
      <c r="BF4" s="85">
        <f t="shared" ref="BF4:BF35" si="27">Rdc5_Flyback_CCM*(Iout5^2)</f>
        <v>0</v>
      </c>
      <c r="BG4" s="86">
        <f>Rac5_Flyback_CCM*(AH4^2)</f>
        <v>0</v>
      </c>
      <c r="BH4" s="85">
        <f t="shared" ref="BH4:BH35" si="28">Rdc6_Flyback_CCM*(Iout6^2)</f>
        <v>0</v>
      </c>
      <c r="BI4" s="86">
        <f>Rac6_Flyback_CCM*(AJ4^2)</f>
        <v>0</v>
      </c>
      <c r="BJ4" s="85">
        <f t="shared" ref="BJ4:BJ35" si="29">RdcAUX_Flyback_CCM*(IoutAux^2)</f>
        <v>0</v>
      </c>
      <c r="BK4" s="207">
        <f t="shared" ref="BK4:BK35" si="30">RacAUX_Flyback_CCM*(AL4^2)</f>
        <v>0</v>
      </c>
      <c r="BL4" s="85">
        <f>SUM(AV4:BK4)</f>
        <v>0.39884227584257959</v>
      </c>
      <c r="BM4" s="176">
        <f>BL4+AO4</f>
        <v>0.39884227584257959</v>
      </c>
      <c r="BN4" s="176">
        <f>BL4+AQ4</f>
        <v>0.39884227584257959</v>
      </c>
      <c r="BO4" s="176">
        <f>BL4+AS4</f>
        <v>0.40312938304438961</v>
      </c>
      <c r="BP4" s="86">
        <f>BL4+AU4</f>
        <v>0.40452224803225878</v>
      </c>
      <c r="BQ4" s="211">
        <f>(R4^2)*$B$100</f>
        <v>0.10937500000000001</v>
      </c>
      <c r="BR4" s="237">
        <f t="shared" ref="BR4:BR35" si="31">IF(AND(Vout1&lt;&gt;0,Iout1&lt;&gt;0),(Iout1^2)*$B$101,0)</f>
        <v>2.5000000000000001E-3</v>
      </c>
      <c r="BS4" s="237">
        <f t="shared" ref="BS4:BS35" si="32">IF(AND(Vout2&lt;&gt;0,Iout2&lt;&gt;0),(Iout2^2)*$B$102,0)</f>
        <v>0</v>
      </c>
      <c r="BT4" s="237">
        <f t="shared" ref="BT4:BT35" si="33">IF(AND(Vout3&lt;&gt;0,Iout3&lt;&gt;0),(Iout3^2)*$B$103,0)</f>
        <v>0</v>
      </c>
      <c r="BU4" s="237">
        <f t="shared" ref="BU4:BU35" si="34">IF(AND(Vout4&lt;&gt;0,Iout4&lt;&gt;0),(Iout4^2)*$B$104,0)</f>
        <v>0</v>
      </c>
      <c r="BV4" s="237">
        <f t="shared" ref="BV4:BV35" si="35">IF(AND(Vout5&lt;&gt;0,Iout5&lt;&gt;0),(Iout5^2)*$B$105,0)</f>
        <v>0</v>
      </c>
      <c r="BW4" s="237">
        <f t="shared" ref="BW4:BW35" si="36">IF(AND(Vout6&lt;&gt;0,Iout6&lt;&gt;0),(Iout6^2)*$B$106,0)</f>
        <v>0</v>
      </c>
      <c r="BX4" s="212">
        <f t="shared" ref="BX4:BX35" si="37">IF(AND(VOUTAUX&lt;&gt;0,IoutAux&lt;&gt;0),(IoutAux^2)*$B$107,0)</f>
        <v>0</v>
      </c>
      <c r="BY4" s="238">
        <f>SUM(BQ4:BX4)</f>
        <v>0.11187500000000002</v>
      </c>
      <c r="BZ4" s="244">
        <f>(R4^2)*$B$88</f>
        <v>5.9375000000000001E-3</v>
      </c>
      <c r="CA4" s="243">
        <f t="shared" ref="CA4:CA35" si="38">0.5*M4*S4*Fsw*T_Rise_Fall</f>
        <v>3.8713235294117659E-2</v>
      </c>
      <c r="CB4" s="243">
        <f t="shared" ref="CB4:CB35" si="39">$B$89*$B$80*Fsw</f>
        <v>0.1008</v>
      </c>
      <c r="CC4" s="238">
        <f>SUM(BZ4:CB4)</f>
        <v>0.14545073529411767</v>
      </c>
      <c r="CD4" s="244">
        <f t="shared" ref="CD4:CD35" si="40">IF(AND(Iout1&lt;&gt;0,Vout1&lt;&gt;0,Vdiode1&lt;&gt;0),Vdiode1*Iout1,0)</f>
        <v>0.15</v>
      </c>
      <c r="CE4" s="243">
        <f t="shared" ref="CE4:CE35" si="41">ABS(Vout1)*Fsw*Flyback_Qrr</f>
        <v>0.09</v>
      </c>
      <c r="CF4" s="243">
        <f t="shared" ref="CF4:CF54" si="42">IF(AND(Iout2&lt;&gt;0,Vout2&lt;&gt;0,Vdiode2&lt;&gt;0),Vdiode2*Iout2,0)</f>
        <v>0</v>
      </c>
      <c r="CG4" s="243">
        <f t="shared" ref="CG4:CG35" si="43">ABS(Vout2)*Fsw*Flyback_Qrr</f>
        <v>0</v>
      </c>
      <c r="CH4" s="243">
        <f t="shared" ref="CH4:CH54" si="44">IF(AND(Iout3&lt;&gt;0,Vout3&lt;&gt;0,Vdiode3&lt;&gt;0),Vdiode3*Iout3,0)</f>
        <v>0</v>
      </c>
      <c r="CI4" s="243">
        <f t="shared" ref="CI4:CI35" si="45">ABS(Vout3)*Fsw*Flyback_Qrr</f>
        <v>0</v>
      </c>
      <c r="CJ4" s="243">
        <f t="shared" ref="CJ4:CJ54" si="46">IF(AND(Iout4&lt;&gt;0,Vout4&lt;&gt;0,Vdiode4&lt;&gt;0),Vdiode4*Iout4,0)</f>
        <v>0</v>
      </c>
      <c r="CK4" s="243">
        <f t="shared" ref="CK4:CK35" si="47">ABS(Vout4)*Fsw*Flyback_Qrr</f>
        <v>0</v>
      </c>
      <c r="CL4" s="243">
        <f t="shared" ref="CL4:CL54" si="48">IF(AND(Iout5&lt;&gt;0,Vout5&lt;&gt;0,Vdiode5&lt;&gt;0),Vdiode5*Iout5,0)</f>
        <v>0</v>
      </c>
      <c r="CM4" s="243">
        <f t="shared" ref="CM4:CM35" si="49">ABS(Vout5)*Fsw*Flyback_Qrr</f>
        <v>0</v>
      </c>
      <c r="CN4" s="243">
        <f t="shared" ref="CN4:CN54" si="50">IF(AND(Iout6&lt;&gt;0,Vout6&lt;&gt;0,Vdiode6&lt;&gt;0),Vdiode6*Iout6,0)</f>
        <v>0</v>
      </c>
      <c r="CO4" s="243">
        <f t="shared" ref="CO4:CO35" si="51">ABS(Vout6)*Fsw*Flyback_Qrr</f>
        <v>0</v>
      </c>
      <c r="CP4" s="243">
        <f t="shared" ref="CP4:CP54" si="52">IF(AND(IoutAux&lt;&gt;0,VOUTAUX&lt;&gt;0,VdiodeAux&lt;&gt;0),VdiodeAux*IoutAux,0)</f>
        <v>0</v>
      </c>
      <c r="CQ4" s="243">
        <f t="shared" ref="CQ4:CQ35" si="53">ABS(VOUTAUX)*Fsw*Flyback_Qrr</f>
        <v>0</v>
      </c>
      <c r="CR4" s="238">
        <f t="shared" ref="CR4:CR35" si="54">SUM(CD4:CP4)</f>
        <v>0.24</v>
      </c>
      <c r="CS4" s="245">
        <f t="shared" ref="CS4:CS35" si="55">IF(AND(Vout1&lt;&gt;0,Ns1_Flyback&lt;&gt;0),0.5*(U4^2)*LL_Flyback_CCM*Fsw*((Vclamp_Flyback_CCM-M4)/((Vclamp_Flyback_CCM-M4)+((Np/Ns1_Flyback)*ABS(Vout1)))),0)</f>
        <v>0.20446788611291794</v>
      </c>
      <c r="CT4" s="188">
        <f>BY4+CC4+CR4+CS4</f>
        <v>0.70179362140703561</v>
      </c>
      <c r="CU4" s="206">
        <f t="shared" ref="CU4:CU35" si="56">CT4+Pout_Flyback</f>
        <v>8.2017936214070364</v>
      </c>
      <c r="CV4" s="227">
        <f t="shared" ref="CV4:CV35" si="57">Pout_Flyback/CU4</f>
        <v>0.91443412821613501</v>
      </c>
      <c r="CW4">
        <f t="shared" ref="CW4:CW35" si="58">M4+(ABS(Vout1)*(Np/Ns1_Flyback))</f>
        <v>46</v>
      </c>
      <c r="CX4">
        <f t="shared" ref="CX4:CX35" si="59">IF(AND(Vout1&lt;&gt;0,Ns1_Flyback&lt;&gt;0),M4+(ABS(Vout1)*(Np/Ns1_Flyback))+(U4*SQRT(LL_Flyback_CCM/Coss_Flyback_CCM)),0)</f>
        <v>93.064517061404956</v>
      </c>
      <c r="DA4" s="22">
        <v>1</v>
      </c>
      <c r="DB4" s="22">
        <f>DA4*2*PI()</f>
        <v>6.2831853071795862</v>
      </c>
      <c r="DC4" s="253">
        <f>20*LOG($B$123*IMABS(IMDIV(IMPRODUCT(COMPLEX(1,-DB4/$B$120),COMPLEX(1,DB4/$B$119)),IMPRODUCT(COMPLEX(1,DB4/$B$113),COMPLEX(1,DB4/$B$116)))))</f>
        <v>27.165724495184719</v>
      </c>
      <c r="DD4" s="93">
        <f>IMARGUMENT(IMDIV(IMPRODUCT(COMPLEX(1,-DB4/$B$120),COMPLEX(1,DB4/$B$119)),IMPRODUCT(COMPLEX(1,DB4/$B$113),COMPLEX(1,DB4/$B$116))))*(180/PI())</f>
        <v>-1.9185800894094369</v>
      </c>
      <c r="DE4" s="253">
        <f>20*LOG($B$124*IMABS(IMDIV(IMPRODUCT(COMPLEX(1,-DB4/$B$121),COMPLEX(1,DB4/$B$119)),IMPRODUCT(COMPLEX(1,DB4/$B$113),COMPLEX(1,DB4/$B$117)))))</f>
        <v>37.583727816483822</v>
      </c>
      <c r="DF4" s="93">
        <f>IMARGUMENT(IMDIV(IMPRODUCT(COMPLEX(1,-DB4/$B$121),COMPLEX(1,DB4/$B$119)),IMPRODUCT(COMPLEX(1,DB4/$B$113),COMPLEX(1,DB4/$B$117))))*(180/PI())</f>
        <v>-1.9047428831869575</v>
      </c>
      <c r="DG4" s="251">
        <f>20*LOG($B$125*IMABS(IMDIV(IMPRODUCT(COMPLEX(1,-DB4/$B$122),COMPLEX(1,DB4/$B$119)),IMPRODUCT(COMPLEX(1,DB4/$B$115),COMPLEX(1,DB4/$B$118)))))</f>
        <v>42.990827708738514</v>
      </c>
      <c r="DH4" s="93">
        <f>IMARGUMENT(IMDIV(IMPRODUCT(COMPLEX(1,-DB4/$B$122),COMPLEX(1,DB4/$B$119)),IMPRODUCT(COMPLEX(1,DB4/$B$115),COMPLEX(1,DB4/$B$118))))*(180/PI())</f>
        <v>-2.5351909361454585</v>
      </c>
      <c r="DI4" s="91">
        <f>20*LOG($B$159*IMABS(IMDIV(COMPLEX(1,DB4/$B$158),IMPRODUCT(COMPLEX(1,DB4/($B$157)),COMPLEX(0,DB4)))))</f>
        <v>48.874196155527002</v>
      </c>
      <c r="DJ4" s="251">
        <f>IMARGUMENT(IMDIV(COMPLEX(-1,-DB4/$B$158),IMPRODUCT(COMPLEX(1,DB4/($B$157)),COMPLEX(0,DB4))))*(180/PI())</f>
        <v>90.816188909976702</v>
      </c>
      <c r="DK4" s="92">
        <f t="shared" ref="DK4:DK35" si="60">20*LOG10(IMABS(IMPRODUCT(COMPLEX((-$B$133*$B$134)/($B$141*$B$139*$B$132),0),IMDIV(COMPLEX(1,$B$141*$B$132*DB4),IMPRODUCT(COMPLEX(0,DB4),COMPLEX(1,DB4*$B$143*$B$134))))))</f>
        <v>49.160767945602679</v>
      </c>
      <c r="DL4" s="93">
        <f t="shared" ref="DL4:DL35" si="61">IMARGUMENT(IMPRODUCT(COMPLEX((-$B$133*$B$134)/($B$141*$B$139*$B$132),0),IMDIV(COMPLEX(1,$B$141*$B$132*DB4),IMPRODUCT(COMPLEX(0,DB4),COMPLEX(1,DB4*$B$143*$B$134)))))*(180/PI())</f>
        <v>90.789746361840571</v>
      </c>
      <c r="DM4" s="253">
        <f>DC4+DI4</f>
        <v>76.039920650711721</v>
      </c>
      <c r="DN4" s="262">
        <f t="shared" ref="DN4:DN35" si="62">IMARGUMENT(IMPRODUCT(IMDIV(IMPRODUCT(COMPLEX(1,-DB4/$B$120),COMPLEX(1,DB4/$B$119)),IMPRODUCT(COMPLEX(1,DB4/$B$113),COMPLEX(1,DB4/$B$116))),IMDIV(COMPLEX(-1,-DB4/$B$158),IMPRODUCT(COMPLEX(1,DB4/($B$157)),COMPLEX(0,DB4)))))*(180/PI())</f>
        <v>88.897608820567285</v>
      </c>
      <c r="DO4" s="253">
        <f>DE4+DI4</f>
        <v>86.457923972010832</v>
      </c>
      <c r="DP4" s="259">
        <f>DF4+DJ4</f>
        <v>88.911446026789747</v>
      </c>
      <c r="DQ4" s="251">
        <f>DG4+DI4</f>
        <v>91.86502386426551</v>
      </c>
      <c r="DR4" s="259">
        <f>DH4+DJ4</f>
        <v>88.280997973831248</v>
      </c>
      <c r="DS4" s="253">
        <f>DC4+DK4</f>
        <v>76.326492440787405</v>
      </c>
      <c r="DT4" s="261">
        <f t="shared" ref="DT4:DT35" si="63">IMARGUMENT(IMPRODUCT(IMDIV(IMPRODUCT(COMPLEX(1,-DB4/$B$120),COMPLEX(1,DB4/$B$119)),IMPRODUCT(COMPLEX(1,DB4/$B$113),COMPLEX(1,DB4/$B$116))),IMDIV(COMPLEX(-1,-$B$145/-DB4),COMPLEX(1,DB4/$B$144))))*(180/PI())</f>
        <v>88.871166272431154</v>
      </c>
      <c r="DU4" s="253">
        <f>DE4+DK4</f>
        <v>86.744495762086501</v>
      </c>
      <c r="DV4" s="93">
        <f>DF4+DL4</f>
        <v>88.885003478653616</v>
      </c>
      <c r="DW4" s="251">
        <f>DG4+DK4</f>
        <v>92.151595654341193</v>
      </c>
      <c r="DX4" s="93">
        <f>DH4+DL4</f>
        <v>88.254555425695116</v>
      </c>
    </row>
    <row r="5" spans="1:128" ht="15.75" thickBot="1" x14ac:dyDescent="0.3">
      <c r="A5" s="12" t="s">
        <v>284</v>
      </c>
      <c r="B5" s="8">
        <f>IF(AND(Vout1&lt;&gt;0,IoutPri_FBB=0),(Np*(ABS(Vout1)+Vdiode1))/((Ns1_Flyback*VinMax)+(Np*(ABS(Vout1)+Vdiode1))),0)</f>
        <v>0.40476190476190482</v>
      </c>
      <c r="C5" s="12"/>
      <c r="L5" s="58">
        <v>1</v>
      </c>
      <c r="M5" s="62">
        <f t="shared" si="0"/>
        <v>7.08</v>
      </c>
      <c r="N5" s="42">
        <f t="shared" si="1"/>
        <v>4.4935909810728433E-5</v>
      </c>
      <c r="O5" s="19">
        <f t="shared" si="2"/>
        <v>4.0442318829655585E-5</v>
      </c>
      <c r="P5" s="43">
        <f t="shared" si="3"/>
        <v>3.6765744390595982E-5</v>
      </c>
      <c r="Q5" s="60">
        <f t="shared" si="4"/>
        <v>0.85213032581453629</v>
      </c>
      <c r="R5" s="63">
        <f t="shared" si="5"/>
        <v>1.0593220338983051</v>
      </c>
      <c r="S5" s="28">
        <f t="shared" si="6"/>
        <v>1.2431455633100699</v>
      </c>
      <c r="T5" s="12">
        <f t="shared" si="7"/>
        <v>0.12568922305764413</v>
      </c>
      <c r="U5" s="12">
        <f t="shared" ref="U5:U54" si="64">(S5+(0.5*T5))</f>
        <v>1.305990174838892</v>
      </c>
      <c r="V5" s="55">
        <f t="shared" si="8"/>
        <v>1.6358372075350209</v>
      </c>
      <c r="W5" s="54">
        <f t="shared" ref="W5:W54" si="65">S5*SQRT(Q5)*SQRT(1+((1/3)*((T5/(2*S5))^2)))</f>
        <v>1.1480476037887639</v>
      </c>
      <c r="X5" s="55">
        <f t="shared" ref="X5:X54" si="66">SQRT((W5^2)-(R5^2))</f>
        <v>0.44254957808440021</v>
      </c>
      <c r="Y5" s="54">
        <f t="shared" si="9"/>
        <v>1.3007722766566854</v>
      </c>
      <c r="Z5" s="55">
        <f t="shared" ref="Z5:Z54" si="67">IF(AND(Iout1&lt;&gt;0,Vout1&lt;&gt;0),SQRT((Y5^2)-(Iout1^2)),0)</f>
        <v>1.2008365899316262</v>
      </c>
      <c r="AA5" s="54">
        <f t="shared" si="10"/>
        <v>0</v>
      </c>
      <c r="AB5" s="55">
        <f t="shared" ref="AB5:AB54" si="68">IF(AND(Iout2&lt;&gt;0,Vout2&lt;&gt;0),SQRT((AA5^2)-(Iout2^2)),0)</f>
        <v>0</v>
      </c>
      <c r="AC5" s="54">
        <f t="shared" si="11"/>
        <v>0</v>
      </c>
      <c r="AD5" s="55">
        <f t="shared" ref="AD5:AD54" si="69">IF(AND(Iout3&lt;&gt;0,Vout3&lt;&gt;0),SQRT((AC5^2)-(Iout3^2)),0)</f>
        <v>0</v>
      </c>
      <c r="AE5" s="54">
        <f t="shared" si="12"/>
        <v>0</v>
      </c>
      <c r="AF5" s="55">
        <f t="shared" ref="AF5:AF54" si="70">IF(AND(Iout4&lt;&gt;0,Vout4&lt;&gt;0),SQRT((AE5^2)-(Iout4^2)),0)</f>
        <v>0</v>
      </c>
      <c r="AG5" s="54">
        <f t="shared" si="13"/>
        <v>0</v>
      </c>
      <c r="AH5" s="55">
        <f t="shared" ref="AH5:AH54" si="71">IF(AND(Iout5&lt;&gt;0,Vout5&lt;&gt;0),SQRT((AG5^2)-(Iout5^2)),0)</f>
        <v>0</v>
      </c>
      <c r="AI5" s="54">
        <f t="shared" ref="AI5:AI35" si="72">IF(AND(Vout6&lt;&gt;0,Iout6&lt;&gt;0,Ns6_Flyback&lt;&gt;0),(Iout6/(1-Q5))*SQRT(1-Q5)*SQRT(1+((1/3)*((ABS(Vout6)*(1-Q5)/(Lm_Flyback_CCM*Fsw*((Ns6_Flyback/Np)^2)))/((2*Iout6/(1-Q5))))^2)),0)</f>
        <v>0</v>
      </c>
      <c r="AJ5" s="177">
        <f t="shared" ref="AJ5:AJ54" si="73">IF(AND(Iout6&lt;&gt;0,Vout6&lt;&gt;0),SQRT((AI5^2)-(Iout6^2)),0)</f>
        <v>0</v>
      </c>
      <c r="AK5" s="54">
        <f t="shared" si="14"/>
        <v>0</v>
      </c>
      <c r="AL5" s="55">
        <f t="shared" si="15"/>
        <v>0</v>
      </c>
      <c r="AM5" s="179">
        <f t="shared" si="16"/>
        <v>2.1750244093903373E-2</v>
      </c>
      <c r="AN5" s="52">
        <f t="shared" si="17"/>
        <v>0</v>
      </c>
      <c r="AO5" s="74">
        <f t="shared" ref="AO5:AO35" si="74">AN5*(Ve_Flyback_CCM/1000)</f>
        <v>0</v>
      </c>
      <c r="AP5" s="78">
        <v>0</v>
      </c>
      <c r="AQ5" s="87">
        <f t="shared" si="18"/>
        <v>0</v>
      </c>
      <c r="AR5" s="46">
        <f t="shared" si="19"/>
        <v>8.355129231575452</v>
      </c>
      <c r="AS5" s="69">
        <f t="shared" si="20"/>
        <v>6.2663469236815886E-3</v>
      </c>
      <c r="AT5" s="42">
        <f t="shared" si="21"/>
        <v>10.758216845689958</v>
      </c>
      <c r="AU5" s="79">
        <f t="shared" si="22"/>
        <v>8.0686626342674692E-3</v>
      </c>
      <c r="AV5" s="83">
        <f t="shared" ref="AV5:AV54" si="75">RdcPri_Flyback_CCM*(R5^2)</f>
        <v>0.12069995369635321</v>
      </c>
      <c r="AW5" s="84">
        <f t="shared" ref="AW5:AW54" si="76">RacPri_Flyback_CCM*(X5^2)</f>
        <v>2.1065654362582963E-2</v>
      </c>
      <c r="AX5" s="42">
        <f t="shared" si="23"/>
        <v>2.639489953632148E-2</v>
      </c>
      <c r="AY5" s="43">
        <f t="shared" ref="AY5:AY54" si="77">Rac1_Flyback_CCM*(Z5^2)</f>
        <v>0.15224667961165175</v>
      </c>
      <c r="AZ5" s="85">
        <f t="shared" si="24"/>
        <v>0</v>
      </c>
      <c r="BA5" s="86">
        <f t="shared" ref="BA5:BA54" si="78">Rac2_Flyback_CCM*(AB5^2)</f>
        <v>0</v>
      </c>
      <c r="BB5" s="85">
        <f t="shared" si="25"/>
        <v>0</v>
      </c>
      <c r="BC5" s="86">
        <f t="shared" ref="BC5:BC54" si="79">Rac3_Flyback_CCM*(AD5^2)</f>
        <v>0</v>
      </c>
      <c r="BD5" s="85">
        <f t="shared" si="26"/>
        <v>0</v>
      </c>
      <c r="BE5" s="86">
        <f t="shared" ref="BE5:BE54" si="80">Rac4_Flyback_CCM*(AF5^2)</f>
        <v>0</v>
      </c>
      <c r="BF5" s="85">
        <f t="shared" si="27"/>
        <v>0</v>
      </c>
      <c r="BG5" s="86">
        <f t="shared" ref="BG5:BG54" si="81">Rac5_Flyback_CCM*(AH5^2)</f>
        <v>0</v>
      </c>
      <c r="BH5" s="85">
        <f t="shared" si="28"/>
        <v>0</v>
      </c>
      <c r="BI5" s="86">
        <f t="shared" ref="BI5:BI54" si="82">Rac6_Flyback_CCM*(AJ5^2)</f>
        <v>0</v>
      </c>
      <c r="BJ5" s="85">
        <f t="shared" si="29"/>
        <v>0</v>
      </c>
      <c r="BK5" s="207">
        <f t="shared" si="30"/>
        <v>0</v>
      </c>
      <c r="BL5" s="85">
        <f t="shared" ref="BL5:BL54" si="83">SUM(AV5:BK5)</f>
        <v>0.32040718720690942</v>
      </c>
      <c r="BM5" s="176">
        <f t="shared" ref="BM5:BM54" si="84">BL5+AO5</f>
        <v>0.32040718720690942</v>
      </c>
      <c r="BN5" s="176">
        <f t="shared" ref="BN5:BN54" si="85">BL5+AQ5</f>
        <v>0.32040718720690942</v>
      </c>
      <c r="BO5" s="176">
        <f t="shared" ref="BO5:BO54" si="86">BL5+AS5</f>
        <v>0.32667353413059103</v>
      </c>
      <c r="BP5" s="86">
        <f t="shared" ref="BP5:BP54" si="87">BL5+AU5</f>
        <v>0.32847584984117689</v>
      </c>
      <c r="BQ5" s="211">
        <f t="shared" ref="BQ5:BQ54" si="88">(R5^2)*$B$100</f>
        <v>7.8551422005170957E-2</v>
      </c>
      <c r="BR5" s="237">
        <f t="shared" si="31"/>
        <v>2.5000000000000001E-3</v>
      </c>
      <c r="BS5" s="237">
        <f t="shared" si="32"/>
        <v>0</v>
      </c>
      <c r="BT5" s="237">
        <f t="shared" si="33"/>
        <v>0</v>
      </c>
      <c r="BU5" s="237">
        <f t="shared" si="34"/>
        <v>0</v>
      </c>
      <c r="BV5" s="237">
        <f t="shared" si="35"/>
        <v>0</v>
      </c>
      <c r="BW5" s="237">
        <f t="shared" si="36"/>
        <v>0</v>
      </c>
      <c r="BX5" s="212">
        <f t="shared" si="37"/>
        <v>0</v>
      </c>
      <c r="BY5" s="238">
        <f t="shared" ref="BY5:BY54" si="89">SUM(BQ5:BX5)</f>
        <v>8.1051422005170959E-2</v>
      </c>
      <c r="BZ5" s="244">
        <f t="shared" ref="BZ5:BZ54" si="90">(R5^2)*$B$88</f>
        <v>4.2642200517092801E-3</v>
      </c>
      <c r="CA5" s="243">
        <f t="shared" si="38"/>
        <v>3.9606617647058834E-2</v>
      </c>
      <c r="CB5" s="243">
        <f t="shared" si="39"/>
        <v>0.1008</v>
      </c>
      <c r="CC5" s="238">
        <f t="shared" ref="CC5:CC54" si="91">SUM(BZ5:CB5)</f>
        <v>0.14467083769876812</v>
      </c>
      <c r="CD5" s="244">
        <f t="shared" si="40"/>
        <v>0.15</v>
      </c>
      <c r="CE5" s="243">
        <f t="shared" si="41"/>
        <v>0.09</v>
      </c>
      <c r="CF5" s="243">
        <f t="shared" si="42"/>
        <v>0</v>
      </c>
      <c r="CG5" s="243">
        <f t="shared" si="43"/>
        <v>0</v>
      </c>
      <c r="CH5" s="243">
        <f t="shared" si="44"/>
        <v>0</v>
      </c>
      <c r="CI5" s="243">
        <f t="shared" si="45"/>
        <v>0</v>
      </c>
      <c r="CJ5" s="243">
        <f t="shared" si="46"/>
        <v>0</v>
      </c>
      <c r="CK5" s="243">
        <f t="shared" si="47"/>
        <v>0</v>
      </c>
      <c r="CL5" s="243">
        <f t="shared" si="48"/>
        <v>0</v>
      </c>
      <c r="CM5" s="243">
        <f t="shared" si="49"/>
        <v>0</v>
      </c>
      <c r="CN5" s="243">
        <f t="shared" si="50"/>
        <v>0</v>
      </c>
      <c r="CO5" s="243">
        <f t="shared" si="51"/>
        <v>0</v>
      </c>
      <c r="CP5" s="243">
        <f t="shared" si="52"/>
        <v>0</v>
      </c>
      <c r="CQ5" s="243">
        <f t="shared" si="53"/>
        <v>0</v>
      </c>
      <c r="CR5" s="238">
        <f t="shared" si="54"/>
        <v>0.24</v>
      </c>
      <c r="CS5" s="246">
        <f t="shared" si="55"/>
        <v>0.15640837892041629</v>
      </c>
      <c r="CT5" s="188">
        <f t="shared" ref="CT5:CT54" si="92">BY5+CC5+CR5+CS5</f>
        <v>0.62213063862435536</v>
      </c>
      <c r="CU5" s="206">
        <f t="shared" si="56"/>
        <v>8.1221306386243555</v>
      </c>
      <c r="CV5" s="227">
        <f t="shared" si="57"/>
        <v>0.92340302485829928</v>
      </c>
      <c r="CW5">
        <f t="shared" si="58"/>
        <v>47.08</v>
      </c>
      <c r="CX5">
        <f t="shared" si="59"/>
        <v>88.379035542924242</v>
      </c>
      <c r="DA5" s="22">
        <v>2</v>
      </c>
      <c r="DB5" s="22">
        <f t="shared" ref="DB5:DB59" si="93">DA5*2*PI()</f>
        <v>12.566370614359172</v>
      </c>
      <c r="DC5" s="253">
        <f t="shared" ref="DC5:DC59" si="94">20*LOG($B$123*IMABS(IMDIV(IMPRODUCT(COMPLEX(1,-DB5/$B$120),COMPLEX(1,DB5/$B$119)),IMPRODUCT(COMPLEX(1,DB5/$B$113),COMPLEX(1,DB5/$B$116)))))</f>
        <v>27.151376275050595</v>
      </c>
      <c r="DD5" s="93">
        <f t="shared" ref="DD5:DD14" si="95">IMARGUMENT(IMDIV(IMPRODUCT(COMPLEX(1,-DB5/$B$120),COMPLEX(1,DB5/$B$119)),IMPRODUCT(COMPLEX(1,DB5/$B$113),COMPLEX(1,DB5/$B$116))))*(180/PI())</f>
        <v>-3.8329685119564023</v>
      </c>
      <c r="DE5" s="253">
        <f t="shared" ref="DE5:DE14" si="96">20*LOG($B$124*IMABS(IMDIV(IMPRODUCT(COMPLEX(1,-DB5/$B$121),COMPLEX(1,DB5/$B$119)),IMPRODUCT(COMPLEX(1,DB5/$B$113),COMPLEX(1,DB5/$B$117)))))</f>
        <v>37.569378802351878</v>
      </c>
      <c r="DF5" s="93">
        <f t="shared" ref="DF5:DF14" si="97">IMARGUMENT(IMDIV(IMPRODUCT(COMPLEX(1,-DB5/$B$121),COMPLEX(1,DB5/$B$119)),IMPRODUCT(COMPLEX(1,DB5/$B$113),COMPLEX(1,DB5/$B$117))))*(180/PI())</f>
        <v>-3.8052941013070321</v>
      </c>
      <c r="DG5" s="251">
        <f t="shared" ref="DG5:DG14" si="98">20*LOG($B$125*IMABS(IMDIV(IMPRODUCT(COMPLEX(1,-DB5/$B$122),COMPLEX(1,DB5/$B$119)),IMPRODUCT(COMPLEX(1,DB5/$B$115),COMPLEX(1,DB5/$B$118)))))</f>
        <v>42.96540582648953</v>
      </c>
      <c r="DH5" s="93">
        <f t="shared" ref="DH5:DH14" si="99">IMARGUMENT(IMDIV(IMPRODUCT(COMPLEX(1,-DB5/$B$122),COMPLEX(1,DB5/$B$119)),IMPRODUCT(COMPLEX(1,DB5/$B$115),COMPLEX(1,DB5/$B$118))))*(180/PI())</f>
        <v>-5.060490820182391</v>
      </c>
      <c r="DI5" s="91">
        <f t="shared" ref="DI5:DI59" si="100">20*LOG($B$159*IMABS(IMDIV(COMPLEX(1,DB5/$B$158),IMPRODUCT(COMPLEX(1,DB5/($B$157)),COMPLEX(0,DB5)))))</f>
        <v>42.85625304444045</v>
      </c>
      <c r="DJ5" s="251">
        <f t="shared" ref="DJ5:DJ59" si="101">IMARGUMENT(IMDIV(COMPLEX(-1,-DB5/$B$158),IMPRODUCT(COMPLEX(1,DB5/($B$157)),COMPLEX(0,DB5))))*(180/PI())</f>
        <v>91.632044083210246</v>
      </c>
      <c r="DK5" s="92">
        <f t="shared" si="60"/>
        <v>43.142656316086757</v>
      </c>
      <c r="DL5" s="93">
        <f t="shared" si="61"/>
        <v>91.579190233425876</v>
      </c>
      <c r="DM5" s="253">
        <f t="shared" ref="DM5:DM59" si="102">DC5+DI5</f>
        <v>70.007629319491045</v>
      </c>
      <c r="DN5" s="262">
        <f t="shared" si="62"/>
        <v>87.799075571253837</v>
      </c>
      <c r="DO5" s="253">
        <f t="shared" ref="DO5:DO59" si="103">DE5+DI5</f>
        <v>80.425631846792328</v>
      </c>
      <c r="DP5" s="259">
        <f t="shared" ref="DP5:DP59" si="104">DF5+DJ5</f>
        <v>87.82674998190322</v>
      </c>
      <c r="DQ5" s="251">
        <f t="shared" ref="DQ5:DQ59" si="105">DG5+DI5</f>
        <v>85.82165887092998</v>
      </c>
      <c r="DR5" s="259">
        <f t="shared" ref="DR5:DR59" si="106">DH5+DJ5</f>
        <v>86.571553263027852</v>
      </c>
      <c r="DS5" s="253">
        <f t="shared" ref="DS5:DS59" si="107">DC5+DK5</f>
        <v>70.294032591137352</v>
      </c>
      <c r="DT5" s="261">
        <f t="shared" si="63"/>
        <v>87.746221721469468</v>
      </c>
      <c r="DU5" s="253">
        <f t="shared" ref="DU5:DU59" si="108">DE5+DK5</f>
        <v>80.712035118438635</v>
      </c>
      <c r="DV5" s="93">
        <f t="shared" ref="DV5:DV59" si="109">DF5+DL5</f>
        <v>87.77389613211885</v>
      </c>
      <c r="DW5" s="251">
        <f t="shared" ref="DW5:DW59" si="110">DG5+DK5</f>
        <v>86.108062142576287</v>
      </c>
      <c r="DX5" s="93">
        <f t="shared" ref="DX5:DX59" si="111">DH5+DL5</f>
        <v>86.518699413243482</v>
      </c>
    </row>
    <row r="6" spans="1:128" ht="15.75" thickBot="1" x14ac:dyDescent="0.3">
      <c r="A6" s="12" t="s">
        <v>287</v>
      </c>
      <c r="B6" s="39">
        <f>B5/Fsw</f>
        <v>1.3492063492063495E-6</v>
      </c>
      <c r="C6" s="12" t="s">
        <v>312</v>
      </c>
      <c r="L6" s="58">
        <v>2</v>
      </c>
      <c r="M6" s="62">
        <f t="shared" si="0"/>
        <v>8.16</v>
      </c>
      <c r="N6" s="42">
        <f t="shared" si="1"/>
        <v>5.7086419753086431E-5</v>
      </c>
      <c r="O6" s="19">
        <f t="shared" si="2"/>
        <v>5.137777777777779E-5</v>
      </c>
      <c r="P6" s="43">
        <f t="shared" si="3"/>
        <v>4.670707070707071E-5</v>
      </c>
      <c r="Q6" s="60">
        <f t="shared" si="4"/>
        <v>0.83333333333333337</v>
      </c>
      <c r="R6" s="63">
        <f t="shared" si="5"/>
        <v>0.91911764705882348</v>
      </c>
      <c r="S6" s="28">
        <f t="shared" si="6"/>
        <v>1.1029411764705881</v>
      </c>
      <c r="T6" s="12">
        <f t="shared" si="7"/>
        <v>0.14166666666666669</v>
      </c>
      <c r="U6" s="12">
        <f t="shared" si="64"/>
        <v>1.1737745098039214</v>
      </c>
      <c r="V6" s="55">
        <f t="shared" si="8"/>
        <v>1.4671057252510904</v>
      </c>
      <c r="W6" s="54">
        <f t="shared" si="65"/>
        <v>1.0075348184463357</v>
      </c>
      <c r="X6" s="55">
        <f t="shared" si="66"/>
        <v>0.4127337655762402</v>
      </c>
      <c r="Y6" s="54">
        <f t="shared" si="9"/>
        <v>1.225522418146012</v>
      </c>
      <c r="Z6" s="55">
        <f t="shared" si="67"/>
        <v>1.1188856945096979</v>
      </c>
      <c r="AA6" s="54">
        <f t="shared" si="10"/>
        <v>0</v>
      </c>
      <c r="AB6" s="55">
        <f t="shared" si="68"/>
        <v>0</v>
      </c>
      <c r="AC6" s="54">
        <f t="shared" si="11"/>
        <v>0</v>
      </c>
      <c r="AD6" s="55">
        <f t="shared" si="69"/>
        <v>0</v>
      </c>
      <c r="AE6" s="54">
        <f t="shared" si="12"/>
        <v>0</v>
      </c>
      <c r="AF6" s="55">
        <f t="shared" si="70"/>
        <v>0</v>
      </c>
      <c r="AG6" s="54">
        <f t="shared" si="13"/>
        <v>0</v>
      </c>
      <c r="AH6" s="55">
        <f t="shared" si="71"/>
        <v>0</v>
      </c>
      <c r="AI6" s="54">
        <f t="shared" si="72"/>
        <v>0</v>
      </c>
      <c r="AJ6" s="177">
        <f t="shared" si="73"/>
        <v>0</v>
      </c>
      <c r="AK6" s="54">
        <f t="shared" si="14"/>
        <v>0</v>
      </c>
      <c r="AL6" s="55">
        <f t="shared" si="15"/>
        <v>0</v>
      </c>
      <c r="AM6" s="179">
        <f t="shared" si="16"/>
        <v>2.4515105631263974E-2</v>
      </c>
      <c r="AN6" s="52">
        <f t="shared" si="17"/>
        <v>0</v>
      </c>
      <c r="AO6" s="74">
        <f t="shared" si="74"/>
        <v>0</v>
      </c>
      <c r="AP6" s="78">
        <v>0</v>
      </c>
      <c r="AQ6" s="87">
        <f t="shared" si="18"/>
        <v>0</v>
      </c>
      <c r="AR6" s="46">
        <f t="shared" si="19"/>
        <v>11.486623787716381</v>
      </c>
      <c r="AS6" s="69">
        <f t="shared" si="20"/>
        <v>8.6149678407872847E-3</v>
      </c>
      <c r="AT6" s="42">
        <f t="shared" si="21"/>
        <v>14.440611779659395</v>
      </c>
      <c r="AU6" s="79">
        <f t="shared" si="22"/>
        <v>1.0830458834744547E-2</v>
      </c>
      <c r="AV6" s="83">
        <f t="shared" si="75"/>
        <v>9.0864303377380051E-2</v>
      </c>
      <c r="AW6" s="84">
        <f t="shared" si="76"/>
        <v>1.8322768378831719E-2</v>
      </c>
      <c r="AX6" s="42">
        <f t="shared" si="23"/>
        <v>2.639489953632148E-2</v>
      </c>
      <c r="AY6" s="43">
        <f t="shared" si="77"/>
        <v>0.1321756476552115</v>
      </c>
      <c r="AZ6" s="85">
        <f t="shared" si="24"/>
        <v>0</v>
      </c>
      <c r="BA6" s="86">
        <f t="shared" si="78"/>
        <v>0</v>
      </c>
      <c r="BB6" s="85">
        <f t="shared" si="25"/>
        <v>0</v>
      </c>
      <c r="BC6" s="86">
        <f t="shared" si="79"/>
        <v>0</v>
      </c>
      <c r="BD6" s="85">
        <f t="shared" si="26"/>
        <v>0</v>
      </c>
      <c r="BE6" s="86">
        <f t="shared" si="80"/>
        <v>0</v>
      </c>
      <c r="BF6" s="85">
        <f t="shared" si="27"/>
        <v>0</v>
      </c>
      <c r="BG6" s="86">
        <f t="shared" si="81"/>
        <v>0</v>
      </c>
      <c r="BH6" s="85">
        <f t="shared" si="28"/>
        <v>0</v>
      </c>
      <c r="BI6" s="86">
        <f t="shared" si="82"/>
        <v>0</v>
      </c>
      <c r="BJ6" s="85">
        <f t="shared" si="29"/>
        <v>0</v>
      </c>
      <c r="BK6" s="207">
        <f t="shared" si="30"/>
        <v>0</v>
      </c>
      <c r="BL6" s="85">
        <f t="shared" si="83"/>
        <v>0.26775761894774475</v>
      </c>
      <c r="BM6" s="176">
        <f t="shared" si="84"/>
        <v>0.26775761894774475</v>
      </c>
      <c r="BN6" s="176">
        <f t="shared" si="85"/>
        <v>0.26775761894774475</v>
      </c>
      <c r="BO6" s="176">
        <f t="shared" si="86"/>
        <v>0.27637258678853205</v>
      </c>
      <c r="BP6" s="86">
        <f t="shared" si="87"/>
        <v>0.27858807778248929</v>
      </c>
      <c r="BQ6" s="211">
        <f t="shared" si="88"/>
        <v>5.9134407439446368E-2</v>
      </c>
      <c r="BR6" s="237">
        <f t="shared" si="31"/>
        <v>2.5000000000000001E-3</v>
      </c>
      <c r="BS6" s="237">
        <f t="shared" si="32"/>
        <v>0</v>
      </c>
      <c r="BT6" s="237">
        <f t="shared" si="33"/>
        <v>0</v>
      </c>
      <c r="BU6" s="237">
        <f t="shared" si="34"/>
        <v>0</v>
      </c>
      <c r="BV6" s="237">
        <f t="shared" si="35"/>
        <v>0</v>
      </c>
      <c r="BW6" s="237">
        <f t="shared" si="36"/>
        <v>0</v>
      </c>
      <c r="BX6" s="212">
        <f t="shared" si="37"/>
        <v>0</v>
      </c>
      <c r="BY6" s="238">
        <f t="shared" si="89"/>
        <v>6.163440743944637E-2</v>
      </c>
      <c r="BZ6" s="244">
        <f t="shared" si="90"/>
        <v>3.2101535467128025E-3</v>
      </c>
      <c r="CA6" s="243">
        <f t="shared" si="38"/>
        <v>4.0500000000000001E-2</v>
      </c>
      <c r="CB6" s="243">
        <f t="shared" si="39"/>
        <v>0.1008</v>
      </c>
      <c r="CC6" s="238">
        <f t="shared" si="91"/>
        <v>0.14451015354671282</v>
      </c>
      <c r="CD6" s="244">
        <f t="shared" si="40"/>
        <v>0.15</v>
      </c>
      <c r="CE6" s="243">
        <f t="shared" si="41"/>
        <v>0.09</v>
      </c>
      <c r="CF6" s="243">
        <f t="shared" si="42"/>
        <v>0</v>
      </c>
      <c r="CG6" s="243">
        <f t="shared" si="43"/>
        <v>0</v>
      </c>
      <c r="CH6" s="243">
        <f t="shared" si="44"/>
        <v>0</v>
      </c>
      <c r="CI6" s="243">
        <f t="shared" si="45"/>
        <v>0</v>
      </c>
      <c r="CJ6" s="243">
        <f t="shared" si="46"/>
        <v>0</v>
      </c>
      <c r="CK6" s="243">
        <f t="shared" si="47"/>
        <v>0</v>
      </c>
      <c r="CL6" s="243">
        <f t="shared" si="48"/>
        <v>0</v>
      </c>
      <c r="CM6" s="243">
        <f t="shared" si="49"/>
        <v>0</v>
      </c>
      <c r="CN6" s="243">
        <f t="shared" si="50"/>
        <v>0</v>
      </c>
      <c r="CO6" s="243">
        <f t="shared" si="51"/>
        <v>0</v>
      </c>
      <c r="CP6" s="243">
        <f t="shared" si="52"/>
        <v>0</v>
      </c>
      <c r="CQ6" s="243">
        <f t="shared" si="53"/>
        <v>0</v>
      </c>
      <c r="CR6" s="238">
        <f t="shared" si="54"/>
        <v>0.24</v>
      </c>
      <c r="CS6" s="246">
        <f t="shared" si="55"/>
        <v>0.12549074489740558</v>
      </c>
      <c r="CT6" s="188">
        <f t="shared" si="92"/>
        <v>0.57163530588356481</v>
      </c>
      <c r="CU6" s="206">
        <f t="shared" si="56"/>
        <v>8.0716353058835644</v>
      </c>
      <c r="CV6" s="227">
        <f t="shared" si="57"/>
        <v>0.92917974063237363</v>
      </c>
      <c r="CW6">
        <f t="shared" si="58"/>
        <v>48.16</v>
      </c>
      <c r="CX6">
        <f t="shared" si="59"/>
        <v>85.278009104280301</v>
      </c>
      <c r="DA6" s="22">
        <v>3</v>
      </c>
      <c r="DB6" s="22">
        <f t="shared" si="93"/>
        <v>18.849555921538759</v>
      </c>
      <c r="DC6" s="253">
        <f t="shared" si="94"/>
        <v>27.127567427826705</v>
      </c>
      <c r="DD6" s="93">
        <f t="shared" si="95"/>
        <v>-5.7390287244832079</v>
      </c>
      <c r="DE6" s="253">
        <f t="shared" si="96"/>
        <v>37.545568631798702</v>
      </c>
      <c r="DF6" s="93">
        <f t="shared" si="97"/>
        <v>-5.6975171129981295</v>
      </c>
      <c r="DG6" s="251">
        <f t="shared" si="98"/>
        <v>42.923363940859332</v>
      </c>
      <c r="DH6" s="93">
        <f t="shared" si="99"/>
        <v>-7.5662381791671303</v>
      </c>
      <c r="DI6" s="91">
        <f t="shared" si="100"/>
        <v>39.338852258337944</v>
      </c>
      <c r="DJ6" s="251">
        <f t="shared" si="101"/>
        <v>92.447232598869974</v>
      </c>
      <c r="DK6" s="92">
        <f t="shared" si="60"/>
        <v>39.624975109019815</v>
      </c>
      <c r="DL6" s="93">
        <f t="shared" si="61"/>
        <v>92.368029817156128</v>
      </c>
      <c r="DM6" s="253">
        <f t="shared" si="102"/>
        <v>66.466419686164642</v>
      </c>
      <c r="DN6" s="262">
        <f t="shared" si="62"/>
        <v>86.708203874386768</v>
      </c>
      <c r="DO6" s="253">
        <f t="shared" si="103"/>
        <v>76.884420890136653</v>
      </c>
      <c r="DP6" s="259">
        <f t="shared" si="104"/>
        <v>86.749715485871846</v>
      </c>
      <c r="DQ6" s="251">
        <f t="shared" si="105"/>
        <v>82.262216199197269</v>
      </c>
      <c r="DR6" s="259">
        <f t="shared" si="106"/>
        <v>84.880994419702844</v>
      </c>
      <c r="DS6" s="253">
        <f t="shared" si="107"/>
        <v>66.752542536846519</v>
      </c>
      <c r="DT6" s="261">
        <f t="shared" si="63"/>
        <v>86.629001092672922</v>
      </c>
      <c r="DU6" s="253">
        <f t="shared" si="108"/>
        <v>77.170543740818516</v>
      </c>
      <c r="DV6" s="93">
        <f t="shared" si="109"/>
        <v>86.670512704158</v>
      </c>
      <c r="DW6" s="251">
        <f t="shared" si="110"/>
        <v>82.548339049879147</v>
      </c>
      <c r="DX6" s="93">
        <f t="shared" si="111"/>
        <v>84.801791637988998</v>
      </c>
    </row>
    <row r="7" spans="1:128" ht="15.75" thickBot="1" x14ac:dyDescent="0.3">
      <c r="A7" s="12" t="s">
        <v>285</v>
      </c>
      <c r="B7" s="8">
        <f>IF(AND(Vout1&lt;&gt;0,IoutPri_FBB=0),(Np*(ABS(Vout1)+Vdiode1))/((Ns1_Flyback*VinMin)+(Np*(ABS(Vout1)+Vdiode1))),0)</f>
        <v>0.87179487179487181</v>
      </c>
      <c r="C7" s="12"/>
      <c r="L7" s="58">
        <v>3</v>
      </c>
      <c r="M7" s="62">
        <f t="shared" si="0"/>
        <v>9.24</v>
      </c>
      <c r="N7" s="42">
        <f t="shared" si="1"/>
        <v>7.007202167921939E-5</v>
      </c>
      <c r="O7" s="19">
        <f t="shared" si="2"/>
        <v>6.3064819511297451E-5</v>
      </c>
      <c r="P7" s="43">
        <f t="shared" si="3"/>
        <v>5.7331654101179494E-5</v>
      </c>
      <c r="Q7" s="60">
        <f t="shared" si="4"/>
        <v>0.815347721822542</v>
      </c>
      <c r="R7" s="63">
        <f t="shared" si="5"/>
        <v>0.81168831168831168</v>
      </c>
      <c r="S7" s="28">
        <f t="shared" si="6"/>
        <v>0.99551184110007629</v>
      </c>
      <c r="T7" s="12">
        <f t="shared" si="7"/>
        <v>0.15695443645083937</v>
      </c>
      <c r="U7" s="12">
        <f t="shared" si="64"/>
        <v>1.0739890593254959</v>
      </c>
      <c r="V7" s="55">
        <f t="shared" si="8"/>
        <v>1.3366001708083428</v>
      </c>
      <c r="W7" s="54">
        <f t="shared" si="65"/>
        <v>0.89984395635040137</v>
      </c>
      <c r="X7" s="55">
        <f t="shared" si="66"/>
        <v>0.38843433222221918</v>
      </c>
      <c r="Y7" s="54">
        <f t="shared" si="9"/>
        <v>1.1646832385545103</v>
      </c>
      <c r="Z7" s="55">
        <f>IF(AND(Iout1&lt;&gt;0,Vout1&lt;&gt;0),SQRT((Y7^2)-(Iout1^2)),0)</f>
        <v>1.0518968800076471</v>
      </c>
      <c r="AA7" s="54">
        <f t="shared" si="10"/>
        <v>0</v>
      </c>
      <c r="AB7" s="55">
        <f t="shared" si="68"/>
        <v>0</v>
      </c>
      <c r="AC7" s="54">
        <f t="shared" si="11"/>
        <v>0</v>
      </c>
      <c r="AD7" s="55">
        <f t="shared" si="69"/>
        <v>0</v>
      </c>
      <c r="AE7" s="54">
        <f t="shared" si="12"/>
        <v>0</v>
      </c>
      <c r="AF7" s="55">
        <f t="shared" si="70"/>
        <v>0</v>
      </c>
      <c r="AG7" s="54">
        <f t="shared" si="13"/>
        <v>0</v>
      </c>
      <c r="AH7" s="55">
        <f t="shared" si="71"/>
        <v>0</v>
      </c>
      <c r="AI7" s="54">
        <f t="shared" si="72"/>
        <v>0</v>
      </c>
      <c r="AJ7" s="177">
        <f t="shared" si="73"/>
        <v>0</v>
      </c>
      <c r="AK7" s="54">
        <f t="shared" si="14"/>
        <v>0</v>
      </c>
      <c r="AL7" s="55">
        <f t="shared" si="15"/>
        <v>0</v>
      </c>
      <c r="AM7" s="179">
        <f t="shared" si="16"/>
        <v>2.7160620627443538E-2</v>
      </c>
      <c r="AN7" s="52">
        <f t="shared" si="17"/>
        <v>0</v>
      </c>
      <c r="AO7" s="74">
        <f t="shared" si="74"/>
        <v>0</v>
      </c>
      <c r="AP7" s="78">
        <v>0</v>
      </c>
      <c r="AQ7" s="87">
        <f t="shared" si="18"/>
        <v>0</v>
      </c>
      <c r="AR7" s="46">
        <f t="shared" si="19"/>
        <v>15.086140426474039</v>
      </c>
      <c r="AS7" s="69">
        <f t="shared" si="20"/>
        <v>1.1314605319855529E-2</v>
      </c>
      <c r="AT7" s="42">
        <f t="shared" si="21"/>
        <v>18.581045946504311</v>
      </c>
      <c r="AU7" s="79">
        <f t="shared" si="22"/>
        <v>1.3935784459878232E-2</v>
      </c>
      <c r="AV7" s="83">
        <f t="shared" si="75"/>
        <v>7.0864654885647735E-2</v>
      </c>
      <c r="AW7" s="84">
        <f t="shared" si="76"/>
        <v>1.6228796302814659E-2</v>
      </c>
      <c r="AX7" s="42">
        <f t="shared" si="23"/>
        <v>2.639489953632148E-2</v>
      </c>
      <c r="AY7" s="43">
        <f t="shared" si="77"/>
        <v>0.11682245768757428</v>
      </c>
      <c r="AZ7" s="85">
        <f t="shared" si="24"/>
        <v>0</v>
      </c>
      <c r="BA7" s="86">
        <f t="shared" si="78"/>
        <v>0</v>
      </c>
      <c r="BB7" s="85">
        <f t="shared" si="25"/>
        <v>0</v>
      </c>
      <c r="BC7" s="86">
        <f t="shared" si="79"/>
        <v>0</v>
      </c>
      <c r="BD7" s="85">
        <f t="shared" si="26"/>
        <v>0</v>
      </c>
      <c r="BE7" s="86">
        <f t="shared" si="80"/>
        <v>0</v>
      </c>
      <c r="BF7" s="85">
        <f t="shared" si="27"/>
        <v>0</v>
      </c>
      <c r="BG7" s="86">
        <f t="shared" si="81"/>
        <v>0</v>
      </c>
      <c r="BH7" s="85">
        <f t="shared" si="28"/>
        <v>0</v>
      </c>
      <c r="BI7" s="86">
        <f t="shared" si="82"/>
        <v>0</v>
      </c>
      <c r="BJ7" s="85">
        <f t="shared" si="29"/>
        <v>0</v>
      </c>
      <c r="BK7" s="207">
        <f t="shared" si="30"/>
        <v>0</v>
      </c>
      <c r="BL7" s="85">
        <f t="shared" si="83"/>
        <v>0.23031080841235818</v>
      </c>
      <c r="BM7" s="176">
        <f t="shared" si="84"/>
        <v>0.23031080841235818</v>
      </c>
      <c r="BN7" s="176">
        <f t="shared" si="85"/>
        <v>0.23031080841235818</v>
      </c>
      <c r="BO7" s="176">
        <f t="shared" si="86"/>
        <v>0.24162541373221372</v>
      </c>
      <c r="BP7" s="86">
        <f t="shared" si="87"/>
        <v>0.24424659287223641</v>
      </c>
      <c r="BQ7" s="211">
        <f t="shared" si="88"/>
        <v>4.6118654073199532E-2</v>
      </c>
      <c r="BR7" s="237">
        <f t="shared" si="31"/>
        <v>2.5000000000000001E-3</v>
      </c>
      <c r="BS7" s="237">
        <f t="shared" si="32"/>
        <v>0</v>
      </c>
      <c r="BT7" s="237">
        <f t="shared" si="33"/>
        <v>0</v>
      </c>
      <c r="BU7" s="237">
        <f t="shared" si="34"/>
        <v>0</v>
      </c>
      <c r="BV7" s="237">
        <f t="shared" si="35"/>
        <v>0</v>
      </c>
      <c r="BW7" s="237">
        <f t="shared" si="36"/>
        <v>0</v>
      </c>
      <c r="BX7" s="212">
        <f t="shared" si="37"/>
        <v>0</v>
      </c>
      <c r="BY7" s="238">
        <f t="shared" si="89"/>
        <v>4.8618654073199534E-2</v>
      </c>
      <c r="BZ7" s="244">
        <f t="shared" si="90"/>
        <v>2.5035840782594025E-3</v>
      </c>
      <c r="CA7" s="243">
        <f t="shared" si="38"/>
        <v>4.1393382352941176E-2</v>
      </c>
      <c r="CB7" s="243">
        <f t="shared" si="39"/>
        <v>0.1008</v>
      </c>
      <c r="CC7" s="238">
        <f t="shared" si="91"/>
        <v>0.14469696643120059</v>
      </c>
      <c r="CD7" s="244">
        <f t="shared" si="40"/>
        <v>0.15</v>
      </c>
      <c r="CE7" s="243">
        <f t="shared" si="41"/>
        <v>0.09</v>
      </c>
      <c r="CF7" s="243">
        <f t="shared" si="42"/>
        <v>0</v>
      </c>
      <c r="CG7" s="243">
        <f t="shared" si="43"/>
        <v>0</v>
      </c>
      <c r="CH7" s="243">
        <f t="shared" si="44"/>
        <v>0</v>
      </c>
      <c r="CI7" s="243">
        <f t="shared" si="45"/>
        <v>0</v>
      </c>
      <c r="CJ7" s="243">
        <f t="shared" si="46"/>
        <v>0</v>
      </c>
      <c r="CK7" s="243">
        <f t="shared" si="47"/>
        <v>0</v>
      </c>
      <c r="CL7" s="243">
        <f t="shared" si="48"/>
        <v>0</v>
      </c>
      <c r="CM7" s="243">
        <f t="shared" si="49"/>
        <v>0</v>
      </c>
      <c r="CN7" s="243">
        <f t="shared" si="50"/>
        <v>0</v>
      </c>
      <c r="CO7" s="243">
        <f t="shared" si="51"/>
        <v>0</v>
      </c>
      <c r="CP7" s="243">
        <f t="shared" si="52"/>
        <v>0</v>
      </c>
      <c r="CQ7" s="243">
        <f t="shared" si="53"/>
        <v>0</v>
      </c>
      <c r="CR7" s="238">
        <f t="shared" si="54"/>
        <v>0.24</v>
      </c>
      <c r="CS7" s="246">
        <f t="shared" si="55"/>
        <v>0.10433273204551977</v>
      </c>
      <c r="CT7" s="188">
        <f t="shared" si="92"/>
        <v>0.53764835254991983</v>
      </c>
      <c r="CU7" s="206">
        <f t="shared" si="56"/>
        <v>8.0376483525499189</v>
      </c>
      <c r="CV7" s="227">
        <f t="shared" si="57"/>
        <v>0.93310874910578145</v>
      </c>
      <c r="CW7">
        <f t="shared" si="58"/>
        <v>49.24</v>
      </c>
      <c r="CX7">
        <f t="shared" si="59"/>
        <v>83.202516095702691</v>
      </c>
      <c r="DA7" s="22">
        <v>4</v>
      </c>
      <c r="DB7" s="22">
        <f t="shared" si="93"/>
        <v>25.132741228718345</v>
      </c>
      <c r="DC7" s="253">
        <f t="shared" si="94"/>
        <v>27.094452836125669</v>
      </c>
      <c r="DD7" s="93">
        <f t="shared" si="95"/>
        <v>-7.6327326314255917</v>
      </c>
      <c r="DE7" s="253">
        <f t="shared" si="96"/>
        <v>37.512452187437439</v>
      </c>
      <c r="DF7" s="93">
        <f t="shared" si="97"/>
        <v>-7.5773838244915641</v>
      </c>
      <c r="DG7" s="251">
        <f t="shared" si="98"/>
        <v>42.865180766174888</v>
      </c>
      <c r="DH7" s="93">
        <f t="shared" si="99"/>
        <v>-10.043217537746768</v>
      </c>
      <c r="DI7" s="91">
        <f t="shared" si="100"/>
        <v>36.84626411645479</v>
      </c>
      <c r="DJ7" s="251">
        <f t="shared" si="101"/>
        <v>93.26142316296999</v>
      </c>
      <c r="DK7" s="92">
        <f t="shared" si="60"/>
        <v>37.131995305514707</v>
      </c>
      <c r="DL7" s="93">
        <f t="shared" si="61"/>
        <v>93.155964696782164</v>
      </c>
      <c r="DM7" s="253">
        <f t="shared" si="102"/>
        <v>63.940716952580459</v>
      </c>
      <c r="DN7" s="262">
        <f t="shared" si="62"/>
        <v>85.628690531544407</v>
      </c>
      <c r="DO7" s="253">
        <f t="shared" si="103"/>
        <v>74.358716303892237</v>
      </c>
      <c r="DP7" s="259">
        <f t="shared" si="104"/>
        <v>85.684039338478428</v>
      </c>
      <c r="DQ7" s="251">
        <f t="shared" si="105"/>
        <v>79.711444882629678</v>
      </c>
      <c r="DR7" s="259">
        <f t="shared" si="106"/>
        <v>83.21820562522322</v>
      </c>
      <c r="DS7" s="253">
        <f t="shared" si="107"/>
        <v>64.226448141640375</v>
      </c>
      <c r="DT7" s="261">
        <f t="shared" si="63"/>
        <v>85.523232065356609</v>
      </c>
      <c r="DU7" s="253">
        <f t="shared" si="108"/>
        <v>74.644447492952139</v>
      </c>
      <c r="DV7" s="93">
        <f t="shared" si="109"/>
        <v>85.578580872290601</v>
      </c>
      <c r="DW7" s="251">
        <f t="shared" si="110"/>
        <v>79.997176071689594</v>
      </c>
      <c r="DX7" s="93">
        <f t="shared" si="111"/>
        <v>83.112747159035393</v>
      </c>
    </row>
    <row r="8" spans="1:128" ht="15.75" thickBot="1" x14ac:dyDescent="0.3">
      <c r="A8" s="12" t="s">
        <v>286</v>
      </c>
      <c r="B8" s="39">
        <f>B7/Fsw</f>
        <v>2.9059829059829059E-6</v>
      </c>
      <c r="C8" s="12" t="s">
        <v>312</v>
      </c>
      <c r="E8" t="s">
        <v>353</v>
      </c>
      <c r="L8" s="58">
        <v>4</v>
      </c>
      <c r="M8" s="62">
        <f t="shared" si="0"/>
        <v>10.32</v>
      </c>
      <c r="N8" s="42">
        <f t="shared" si="1"/>
        <v>8.3755437511173788E-5</v>
      </c>
      <c r="O8" s="19">
        <f t="shared" si="2"/>
        <v>7.5379893760056413E-5</v>
      </c>
      <c r="P8" s="43">
        <f t="shared" si="3"/>
        <v>6.8527176145505818E-5</v>
      </c>
      <c r="Q8" s="60">
        <f t="shared" si="4"/>
        <v>0.7981220657276995</v>
      </c>
      <c r="R8" s="63">
        <f t="shared" si="5"/>
        <v>0.72674418604651159</v>
      </c>
      <c r="S8" s="28">
        <f t="shared" si="6"/>
        <v>0.91056771545827642</v>
      </c>
      <c r="T8" s="12">
        <f t="shared" si="7"/>
        <v>0.17159624413145541</v>
      </c>
      <c r="U8" s="12">
        <f t="shared" si="64"/>
        <v>0.99636583752400409</v>
      </c>
      <c r="V8" s="55">
        <f t="shared" si="8"/>
        <v>1.2325611001098538</v>
      </c>
      <c r="W8" s="54">
        <f t="shared" si="65"/>
        <v>0.814682885087194</v>
      </c>
      <c r="X8" s="55">
        <f t="shared" si="66"/>
        <v>0.36817263790453997</v>
      </c>
      <c r="Y8" s="54">
        <f t="shared" si="9"/>
        <v>1.1143419067270925</v>
      </c>
      <c r="Z8" s="55">
        <f t="shared" si="67"/>
        <v>0.99587041581130042</v>
      </c>
      <c r="AA8" s="54">
        <f t="shared" si="10"/>
        <v>0</v>
      </c>
      <c r="AB8" s="55">
        <f t="shared" si="68"/>
        <v>0</v>
      </c>
      <c r="AC8" s="54">
        <f t="shared" si="11"/>
        <v>0</v>
      </c>
      <c r="AD8" s="55">
        <f t="shared" si="69"/>
        <v>0</v>
      </c>
      <c r="AE8" s="54">
        <f t="shared" si="12"/>
        <v>0</v>
      </c>
      <c r="AF8" s="55">
        <f t="shared" si="70"/>
        <v>0</v>
      </c>
      <c r="AG8" s="54">
        <f t="shared" si="13"/>
        <v>0</v>
      </c>
      <c r="AH8" s="55">
        <f t="shared" si="71"/>
        <v>0</v>
      </c>
      <c r="AI8" s="54">
        <f t="shared" si="72"/>
        <v>0</v>
      </c>
      <c r="AJ8" s="177">
        <f t="shared" si="73"/>
        <v>0</v>
      </c>
      <c r="AK8" s="54">
        <f t="shared" si="14"/>
        <v>0</v>
      </c>
      <c r="AL8" s="55">
        <f t="shared" si="15"/>
        <v>0</v>
      </c>
      <c r="AM8" s="179">
        <f t="shared" si="16"/>
        <v>2.9694353299840864E-2</v>
      </c>
      <c r="AN8" s="52">
        <f t="shared" si="17"/>
        <v>0</v>
      </c>
      <c r="AO8" s="74">
        <f t="shared" si="74"/>
        <v>0</v>
      </c>
      <c r="AP8" s="78">
        <v>0</v>
      </c>
      <c r="AQ8" s="87">
        <f t="shared" si="18"/>
        <v>0</v>
      </c>
      <c r="AR8" s="46">
        <f t="shared" si="19"/>
        <v>19.125423908106882</v>
      </c>
      <c r="AS8" s="69">
        <f t="shared" si="20"/>
        <v>1.4344067931080161E-2</v>
      </c>
      <c r="AT8" s="42">
        <f t="shared" si="21"/>
        <v>23.139621179921988</v>
      </c>
      <c r="AU8" s="79">
        <f t="shared" si="22"/>
        <v>1.7354715884941491E-2</v>
      </c>
      <c r="AV8" s="83">
        <f t="shared" si="75"/>
        <v>5.6808618012034261E-2</v>
      </c>
      <c r="AW8" s="84">
        <f t="shared" si="76"/>
        <v>1.4579885402660579E-2</v>
      </c>
      <c r="AX8" s="42">
        <f t="shared" si="23"/>
        <v>2.639489953632148E-2</v>
      </c>
      <c r="AY8" s="43">
        <f t="shared" si="77"/>
        <v>0.1047093989650279</v>
      </c>
      <c r="AZ8" s="85">
        <f t="shared" si="24"/>
        <v>0</v>
      </c>
      <c r="BA8" s="86">
        <f t="shared" si="78"/>
        <v>0</v>
      </c>
      <c r="BB8" s="85">
        <f t="shared" si="25"/>
        <v>0</v>
      </c>
      <c r="BC8" s="86">
        <f t="shared" si="79"/>
        <v>0</v>
      </c>
      <c r="BD8" s="85">
        <f t="shared" si="26"/>
        <v>0</v>
      </c>
      <c r="BE8" s="86">
        <f t="shared" si="80"/>
        <v>0</v>
      </c>
      <c r="BF8" s="85">
        <f t="shared" si="27"/>
        <v>0</v>
      </c>
      <c r="BG8" s="86">
        <f t="shared" si="81"/>
        <v>0</v>
      </c>
      <c r="BH8" s="85">
        <f t="shared" si="28"/>
        <v>0</v>
      </c>
      <c r="BI8" s="86">
        <f t="shared" si="82"/>
        <v>0</v>
      </c>
      <c r="BJ8" s="85">
        <f t="shared" si="29"/>
        <v>0</v>
      </c>
      <c r="BK8" s="207">
        <f t="shared" si="30"/>
        <v>0</v>
      </c>
      <c r="BL8" s="85">
        <f t="shared" si="83"/>
        <v>0.20249280191604421</v>
      </c>
      <c r="BM8" s="176">
        <f t="shared" si="84"/>
        <v>0.20249280191604421</v>
      </c>
      <c r="BN8" s="176">
        <f t="shared" si="85"/>
        <v>0.20249280191604421</v>
      </c>
      <c r="BO8" s="176">
        <f t="shared" si="86"/>
        <v>0.21683686984712439</v>
      </c>
      <c r="BP8" s="86">
        <f t="shared" si="87"/>
        <v>0.21984751780098571</v>
      </c>
      <c r="BQ8" s="211">
        <f t="shared" si="88"/>
        <v>3.6970997836668469E-2</v>
      </c>
      <c r="BR8" s="237">
        <f t="shared" si="31"/>
        <v>2.5000000000000001E-3</v>
      </c>
      <c r="BS8" s="237">
        <f t="shared" si="32"/>
        <v>0</v>
      </c>
      <c r="BT8" s="237">
        <f t="shared" si="33"/>
        <v>0</v>
      </c>
      <c r="BU8" s="237">
        <f t="shared" si="34"/>
        <v>0</v>
      </c>
      <c r="BV8" s="237">
        <f t="shared" si="35"/>
        <v>0</v>
      </c>
      <c r="BW8" s="237">
        <f t="shared" si="36"/>
        <v>0</v>
      </c>
      <c r="BX8" s="212">
        <f t="shared" si="37"/>
        <v>0</v>
      </c>
      <c r="BY8" s="238">
        <f t="shared" si="89"/>
        <v>3.9470997836668471E-2</v>
      </c>
      <c r="BZ8" s="244">
        <f t="shared" si="90"/>
        <v>2.0069970254191455E-3</v>
      </c>
      <c r="CA8" s="243">
        <f t="shared" si="38"/>
        <v>4.2286764705882364E-2</v>
      </c>
      <c r="CB8" s="243">
        <f t="shared" si="39"/>
        <v>0.1008</v>
      </c>
      <c r="CC8" s="238">
        <f t="shared" si="91"/>
        <v>0.14509376173130151</v>
      </c>
      <c r="CD8" s="244">
        <f t="shared" si="40"/>
        <v>0.15</v>
      </c>
      <c r="CE8" s="243">
        <f t="shared" si="41"/>
        <v>0.09</v>
      </c>
      <c r="CF8" s="243">
        <f t="shared" si="42"/>
        <v>0</v>
      </c>
      <c r="CG8" s="243">
        <f t="shared" si="43"/>
        <v>0</v>
      </c>
      <c r="CH8" s="243">
        <f t="shared" si="44"/>
        <v>0</v>
      </c>
      <c r="CI8" s="243">
        <f t="shared" si="45"/>
        <v>0</v>
      </c>
      <c r="CJ8" s="243">
        <f t="shared" si="46"/>
        <v>0</v>
      </c>
      <c r="CK8" s="243">
        <f t="shared" si="47"/>
        <v>0</v>
      </c>
      <c r="CL8" s="243">
        <f t="shared" si="48"/>
        <v>0</v>
      </c>
      <c r="CM8" s="243">
        <f t="shared" si="49"/>
        <v>0</v>
      </c>
      <c r="CN8" s="243">
        <f t="shared" si="50"/>
        <v>0</v>
      </c>
      <c r="CO8" s="243">
        <f t="shared" si="51"/>
        <v>0</v>
      </c>
      <c r="CP8" s="243">
        <f t="shared" si="52"/>
        <v>0</v>
      </c>
      <c r="CQ8" s="243">
        <f t="shared" si="53"/>
        <v>0</v>
      </c>
      <c r="CR8" s="238">
        <f t="shared" si="54"/>
        <v>0.24</v>
      </c>
      <c r="CS8" s="246">
        <f t="shared" si="55"/>
        <v>8.9155820478725056E-2</v>
      </c>
      <c r="CT8" s="188">
        <f t="shared" si="92"/>
        <v>0.51372058004669507</v>
      </c>
      <c r="CU8" s="206">
        <f t="shared" si="56"/>
        <v>8.0137205800466944</v>
      </c>
      <c r="CV8" s="227">
        <f t="shared" si="57"/>
        <v>0.9358948724359315</v>
      </c>
      <c r="CW8">
        <f t="shared" si="58"/>
        <v>50.32</v>
      </c>
      <c r="CX8">
        <f t="shared" si="59"/>
        <v>81.82785429357115</v>
      </c>
      <c r="DA8" s="22">
        <v>5</v>
      </c>
      <c r="DB8" s="22">
        <f t="shared" si="93"/>
        <v>31.415926535897931</v>
      </c>
      <c r="DC8" s="253">
        <f t="shared" si="94"/>
        <v>27.052244653532721</v>
      </c>
      <c r="DD8" s="93">
        <f t="shared" si="95"/>
        <v>-9.5102104177777633</v>
      </c>
      <c r="DE8" s="253">
        <f t="shared" si="96"/>
        <v>37.470241622853926</v>
      </c>
      <c r="DF8" s="93">
        <f t="shared" si="97"/>
        <v>-9.4410244225770743</v>
      </c>
      <c r="DG8" s="251">
        <f t="shared" si="98"/>
        <v>42.79150124669718</v>
      </c>
      <c r="DH8" s="93">
        <f t="shared" si="99"/>
        <v>-12.482850901360866</v>
      </c>
      <c r="DI8" s="91">
        <f t="shared" si="100"/>
        <v>34.916005115987339</v>
      </c>
      <c r="DJ8" s="251">
        <f t="shared" si="101"/>
        <v>94.074286909397202</v>
      </c>
      <c r="DK8" s="92">
        <f t="shared" si="60"/>
        <v>35.201234323928297</v>
      </c>
      <c r="DL8" s="93">
        <f t="shared" si="61"/>
        <v>93.942696518221979</v>
      </c>
      <c r="DM8" s="253">
        <f t="shared" si="102"/>
        <v>61.968249769520057</v>
      </c>
      <c r="DN8" s="262">
        <f t="shared" si="62"/>
        <v>84.564076491619417</v>
      </c>
      <c r="DO8" s="253">
        <f t="shared" si="103"/>
        <v>72.386246738841265</v>
      </c>
      <c r="DP8" s="259">
        <f t="shared" si="104"/>
        <v>84.633262486820129</v>
      </c>
      <c r="DQ8" s="251">
        <f t="shared" si="105"/>
        <v>77.707506362684512</v>
      </c>
      <c r="DR8" s="259">
        <f t="shared" si="106"/>
        <v>81.591436008036339</v>
      </c>
      <c r="DS8" s="253">
        <f t="shared" si="107"/>
        <v>62.253478977461015</v>
      </c>
      <c r="DT8" s="261">
        <f t="shared" si="63"/>
        <v>84.432486100444237</v>
      </c>
      <c r="DU8" s="253">
        <f t="shared" si="108"/>
        <v>72.671475946782223</v>
      </c>
      <c r="DV8" s="93">
        <f t="shared" si="109"/>
        <v>84.501672095644906</v>
      </c>
      <c r="DW8" s="251">
        <f t="shared" si="110"/>
        <v>77.992735570625484</v>
      </c>
      <c r="DX8" s="93">
        <f t="shared" si="111"/>
        <v>81.459845616861116</v>
      </c>
    </row>
    <row r="9" spans="1:128" ht="15.75" thickBot="1" x14ac:dyDescent="0.3">
      <c r="A9" s="524" t="s">
        <v>282</v>
      </c>
      <c r="B9" s="524"/>
      <c r="C9" s="12"/>
      <c r="L9" s="58">
        <v>5</v>
      </c>
      <c r="M9" s="62">
        <f t="shared" si="0"/>
        <v>11.4</v>
      </c>
      <c r="N9" s="42">
        <f t="shared" si="1"/>
        <v>9.8017586353694135E-5</v>
      </c>
      <c r="O9" s="19">
        <f t="shared" si="2"/>
        <v>8.8215827718324716E-5</v>
      </c>
      <c r="P9" s="43">
        <f t="shared" si="3"/>
        <v>8.0196207016658836E-5</v>
      </c>
      <c r="Q9" s="60">
        <f t="shared" si="4"/>
        <v>0.78160919540229878</v>
      </c>
      <c r="R9" s="63">
        <f t="shared" si="5"/>
        <v>0.6578947368421052</v>
      </c>
      <c r="S9" s="28">
        <f t="shared" si="6"/>
        <v>0.84171826625387003</v>
      </c>
      <c r="T9" s="12">
        <f t="shared" si="7"/>
        <v>0.18563218390804598</v>
      </c>
      <c r="U9" s="12">
        <f t="shared" si="64"/>
        <v>0.93453435820789299</v>
      </c>
      <c r="V9" s="55">
        <f t="shared" si="8"/>
        <v>1.1476303177612723</v>
      </c>
      <c r="W9" s="54">
        <f t="shared" si="65"/>
        <v>0.74565842934476623</v>
      </c>
      <c r="X9" s="55">
        <f t="shared" si="66"/>
        <v>0.3509715209078379</v>
      </c>
      <c r="Y9" s="54">
        <f t="shared" si="9"/>
        <v>1.07192503577735</v>
      </c>
      <c r="Z9" s="55">
        <f t="shared" si="67"/>
        <v>0.94816838289740135</v>
      </c>
      <c r="AA9" s="54">
        <f t="shared" si="10"/>
        <v>0</v>
      </c>
      <c r="AB9" s="55">
        <f t="shared" si="68"/>
        <v>0</v>
      </c>
      <c r="AC9" s="54">
        <f t="shared" si="11"/>
        <v>0</v>
      </c>
      <c r="AD9" s="55">
        <f t="shared" si="69"/>
        <v>0</v>
      </c>
      <c r="AE9" s="54">
        <f t="shared" si="12"/>
        <v>0</v>
      </c>
      <c r="AF9" s="55">
        <f t="shared" si="70"/>
        <v>0</v>
      </c>
      <c r="AG9" s="54">
        <f t="shared" si="13"/>
        <v>0</v>
      </c>
      <c r="AH9" s="55">
        <f t="shared" si="71"/>
        <v>0</v>
      </c>
      <c r="AI9" s="54">
        <f t="shared" si="72"/>
        <v>0</v>
      </c>
      <c r="AJ9" s="177">
        <f t="shared" si="73"/>
        <v>0</v>
      </c>
      <c r="AK9" s="54">
        <f t="shared" si="14"/>
        <v>0</v>
      </c>
      <c r="AL9" s="55">
        <f t="shared" si="15"/>
        <v>0</v>
      </c>
      <c r="AM9" s="179">
        <f t="shared" si="16"/>
        <v>3.2123241861656236E-2</v>
      </c>
      <c r="AN9" s="52">
        <f t="shared" si="17"/>
        <v>0</v>
      </c>
      <c r="AO9" s="74">
        <f t="shared" si="74"/>
        <v>0</v>
      </c>
      <c r="AP9" s="78">
        <v>0</v>
      </c>
      <c r="AQ9" s="87">
        <f t="shared" si="18"/>
        <v>0</v>
      </c>
      <c r="AR9" s="46">
        <f t="shared" si="19"/>
        <v>23.574261125837083</v>
      </c>
      <c r="AS9" s="69">
        <f t="shared" si="20"/>
        <v>1.768069584437781E-2</v>
      </c>
      <c r="AT9" s="42">
        <f t="shared" si="21"/>
        <v>28.077223912064682</v>
      </c>
      <c r="AU9" s="79">
        <f t="shared" si="22"/>
        <v>2.1057917934048511E-2</v>
      </c>
      <c r="AV9" s="83">
        <f t="shared" si="75"/>
        <v>4.6554741143158489E-2</v>
      </c>
      <c r="AW9" s="84">
        <f t="shared" si="76"/>
        <v>1.3249358380661217E-2</v>
      </c>
      <c r="AX9" s="42">
        <f t="shared" si="23"/>
        <v>2.639489953632148E-2</v>
      </c>
      <c r="AY9" s="43">
        <f t="shared" si="77"/>
        <v>9.4918516871263847E-2</v>
      </c>
      <c r="AZ9" s="85">
        <f t="shared" si="24"/>
        <v>0</v>
      </c>
      <c r="BA9" s="86">
        <f t="shared" si="78"/>
        <v>0</v>
      </c>
      <c r="BB9" s="85">
        <f t="shared" si="25"/>
        <v>0</v>
      </c>
      <c r="BC9" s="86">
        <f t="shared" si="79"/>
        <v>0</v>
      </c>
      <c r="BD9" s="85">
        <f t="shared" si="26"/>
        <v>0</v>
      </c>
      <c r="BE9" s="86">
        <f t="shared" si="80"/>
        <v>0</v>
      </c>
      <c r="BF9" s="85">
        <f t="shared" si="27"/>
        <v>0</v>
      </c>
      <c r="BG9" s="86">
        <f t="shared" si="81"/>
        <v>0</v>
      </c>
      <c r="BH9" s="85">
        <f t="shared" si="28"/>
        <v>0</v>
      </c>
      <c r="BI9" s="86">
        <f t="shared" si="82"/>
        <v>0</v>
      </c>
      <c r="BJ9" s="85">
        <f t="shared" si="29"/>
        <v>0</v>
      </c>
      <c r="BK9" s="207">
        <f t="shared" si="30"/>
        <v>0</v>
      </c>
      <c r="BL9" s="85">
        <f t="shared" si="83"/>
        <v>0.18111751593140504</v>
      </c>
      <c r="BM9" s="176">
        <f t="shared" si="84"/>
        <v>0.18111751593140504</v>
      </c>
      <c r="BN9" s="176">
        <f t="shared" si="85"/>
        <v>0.18111751593140504</v>
      </c>
      <c r="BO9" s="176">
        <f t="shared" si="86"/>
        <v>0.19879821177578286</v>
      </c>
      <c r="BP9" s="86">
        <f t="shared" si="87"/>
        <v>0.20217543386545356</v>
      </c>
      <c r="BQ9" s="211">
        <f t="shared" si="88"/>
        <v>3.0297783933518004E-2</v>
      </c>
      <c r="BR9" s="237">
        <f t="shared" si="31"/>
        <v>2.5000000000000001E-3</v>
      </c>
      <c r="BS9" s="237">
        <f t="shared" si="32"/>
        <v>0</v>
      </c>
      <c r="BT9" s="237">
        <f t="shared" si="33"/>
        <v>0</v>
      </c>
      <c r="BU9" s="237">
        <f t="shared" si="34"/>
        <v>0</v>
      </c>
      <c r="BV9" s="237">
        <f t="shared" si="35"/>
        <v>0</v>
      </c>
      <c r="BW9" s="237">
        <f t="shared" si="36"/>
        <v>0</v>
      </c>
      <c r="BX9" s="212">
        <f t="shared" si="37"/>
        <v>0</v>
      </c>
      <c r="BY9" s="238">
        <f t="shared" si="89"/>
        <v>3.2797783933518003E-2</v>
      </c>
      <c r="BZ9" s="244">
        <f t="shared" si="90"/>
        <v>1.6447368421052628E-3</v>
      </c>
      <c r="CA9" s="243">
        <f t="shared" si="38"/>
        <v>4.3180147058823531E-2</v>
      </c>
      <c r="CB9" s="243">
        <f t="shared" si="39"/>
        <v>0.1008</v>
      </c>
      <c r="CC9" s="238">
        <f t="shared" si="91"/>
        <v>0.14562488390092879</v>
      </c>
      <c r="CD9" s="244">
        <f t="shared" si="40"/>
        <v>0.15</v>
      </c>
      <c r="CE9" s="243">
        <f t="shared" si="41"/>
        <v>0.09</v>
      </c>
      <c r="CF9" s="243">
        <f t="shared" si="42"/>
        <v>0</v>
      </c>
      <c r="CG9" s="243">
        <f t="shared" si="43"/>
        <v>0</v>
      </c>
      <c r="CH9" s="243">
        <f t="shared" si="44"/>
        <v>0</v>
      </c>
      <c r="CI9" s="243">
        <f t="shared" si="45"/>
        <v>0</v>
      </c>
      <c r="CJ9" s="243">
        <f t="shared" si="46"/>
        <v>0</v>
      </c>
      <c r="CK9" s="243">
        <f t="shared" si="47"/>
        <v>0</v>
      </c>
      <c r="CL9" s="243">
        <f t="shared" si="48"/>
        <v>0</v>
      </c>
      <c r="CM9" s="243">
        <f t="shared" si="49"/>
        <v>0</v>
      </c>
      <c r="CN9" s="243">
        <f t="shared" si="50"/>
        <v>0</v>
      </c>
      <c r="CO9" s="243">
        <f t="shared" si="51"/>
        <v>0</v>
      </c>
      <c r="CP9" s="243">
        <f t="shared" si="52"/>
        <v>0</v>
      </c>
      <c r="CQ9" s="243">
        <f t="shared" si="53"/>
        <v>0</v>
      </c>
      <c r="CR9" s="238">
        <f t="shared" si="54"/>
        <v>0.24</v>
      </c>
      <c r="CS9" s="246">
        <f t="shared" si="55"/>
        <v>7.7857867769152406E-2</v>
      </c>
      <c r="CT9" s="188">
        <f t="shared" si="92"/>
        <v>0.49628053560359919</v>
      </c>
      <c r="CU9" s="206">
        <f t="shared" si="56"/>
        <v>7.9962805356035993</v>
      </c>
      <c r="CV9" s="227">
        <f t="shared" si="57"/>
        <v>0.93793607748078622</v>
      </c>
      <c r="CW9">
        <f t="shared" si="58"/>
        <v>51.4</v>
      </c>
      <c r="CX9">
        <f t="shared" si="59"/>
        <v>80.95257123620614</v>
      </c>
      <c r="DA9" s="22">
        <v>6</v>
      </c>
      <c r="DB9" s="22">
        <f t="shared" si="93"/>
        <v>37.699111843077517</v>
      </c>
      <c r="DC9" s="253">
        <f t="shared" si="94"/>
        <v>27.001207874430992</v>
      </c>
      <c r="DD9" s="93">
        <f t="shared" si="95"/>
        <v>-11.367795407010014</v>
      </c>
      <c r="DE9" s="253">
        <f t="shared" si="96"/>
        <v>37.41920193243223</v>
      </c>
      <c r="DF9" s="93">
        <f t="shared" si="97"/>
        <v>-11.284772232520497</v>
      </c>
      <c r="DG9" s="251">
        <f t="shared" si="98"/>
        <v>42.703113652454903</v>
      </c>
      <c r="DH9" s="93">
        <f t="shared" si="99"/>
        <v>-14.877355072037146</v>
      </c>
      <c r="DI9" s="91">
        <f t="shared" si="100"/>
        <v>33.342066500354697</v>
      </c>
      <c r="DJ9" s="251">
        <f t="shared" si="101"/>
        <v>94.885498186223728</v>
      </c>
      <c r="DK9" s="92">
        <f t="shared" si="60"/>
        <v>33.626684582727549</v>
      </c>
      <c r="DL9" s="93">
        <f t="shared" si="61"/>
        <v>94.727929658664095</v>
      </c>
      <c r="DM9" s="253">
        <f t="shared" si="102"/>
        <v>60.343274374785693</v>
      </c>
      <c r="DN9" s="262">
        <f t="shared" si="62"/>
        <v>83.517702779213721</v>
      </c>
      <c r="DO9" s="253">
        <f t="shared" si="103"/>
        <v>70.76126843278692</v>
      </c>
      <c r="DP9" s="259">
        <f t="shared" si="104"/>
        <v>83.600725953703233</v>
      </c>
      <c r="DQ9" s="251">
        <f t="shared" si="105"/>
        <v>76.045180152809593</v>
      </c>
      <c r="DR9" s="259">
        <f t="shared" si="106"/>
        <v>80.008143114186581</v>
      </c>
      <c r="DS9" s="253">
        <f t="shared" si="107"/>
        <v>60.627892457158538</v>
      </c>
      <c r="DT9" s="261">
        <f t="shared" si="63"/>
        <v>83.360134251654102</v>
      </c>
      <c r="DU9" s="253">
        <f t="shared" si="108"/>
        <v>71.045886515159779</v>
      </c>
      <c r="DV9" s="93">
        <f t="shared" si="109"/>
        <v>83.4431574261436</v>
      </c>
      <c r="DW9" s="251">
        <f t="shared" si="110"/>
        <v>76.329798235182452</v>
      </c>
      <c r="DX9" s="93">
        <f t="shared" si="111"/>
        <v>79.850574586626948</v>
      </c>
    </row>
    <row r="10" spans="1:128" ht="15.75" thickBot="1" x14ac:dyDescent="0.3">
      <c r="A10" s="12" t="s">
        <v>298</v>
      </c>
      <c r="B10" s="21">
        <f>IF(AND(Vout1&lt;&gt;0),((ABS(Vout1)+Vdiode1)*(1-D_spec)*Np)/(VinMin*D_spec),0)</f>
        <v>2.5500000000000003</v>
      </c>
      <c r="C10" s="12"/>
      <c r="L10" s="58">
        <v>6</v>
      </c>
      <c r="M10" s="62">
        <f t="shared" si="0"/>
        <v>12.48</v>
      </c>
      <c r="N10" s="42">
        <f t="shared" si="1"/>
        <v>1.12755061367674E-4</v>
      </c>
      <c r="O10" s="19">
        <f t="shared" si="2"/>
        <v>1.0147955523090662E-4</v>
      </c>
      <c r="P10" s="43">
        <f t="shared" si="3"/>
        <v>9.2254141119006009E-5</v>
      </c>
      <c r="Q10" s="60">
        <f t="shared" si="4"/>
        <v>0.76576576576576583</v>
      </c>
      <c r="R10" s="63">
        <f t="shared" si="5"/>
        <v>0.60096153846153844</v>
      </c>
      <c r="S10" s="28">
        <f t="shared" si="6"/>
        <v>0.78478506787330304</v>
      </c>
      <c r="T10" s="12">
        <f t="shared" si="7"/>
        <v>0.19909909909909917</v>
      </c>
      <c r="U10" s="12">
        <f t="shared" si="64"/>
        <v>0.88433461742285258</v>
      </c>
      <c r="V10" s="55">
        <f t="shared" si="8"/>
        <v>1.0769626710537348</v>
      </c>
      <c r="W10" s="54">
        <f t="shared" si="65"/>
        <v>0.68858931891739128</v>
      </c>
      <c r="X10" s="55">
        <f t="shared" si="66"/>
        <v>0.3361554393685422</v>
      </c>
      <c r="Y10" s="54">
        <f t="shared" si="9"/>
        <v>1.0356622723635827</v>
      </c>
      <c r="Z10" s="55">
        <f t="shared" si="67"/>
        <v>0.90697097108854574</v>
      </c>
      <c r="AA10" s="54">
        <f t="shared" si="10"/>
        <v>0</v>
      </c>
      <c r="AB10" s="55">
        <f t="shared" si="68"/>
        <v>0</v>
      </c>
      <c r="AC10" s="54">
        <f t="shared" si="11"/>
        <v>0</v>
      </c>
      <c r="AD10" s="55">
        <f t="shared" si="69"/>
        <v>0</v>
      </c>
      <c r="AE10" s="54">
        <f t="shared" si="12"/>
        <v>0</v>
      </c>
      <c r="AF10" s="55">
        <f t="shared" si="70"/>
        <v>0</v>
      </c>
      <c r="AG10" s="54">
        <f t="shared" si="13"/>
        <v>0</v>
      </c>
      <c r="AH10" s="55">
        <f t="shared" si="71"/>
        <v>0</v>
      </c>
      <c r="AI10" s="54">
        <f t="shared" si="72"/>
        <v>0</v>
      </c>
      <c r="AJ10" s="177">
        <f t="shared" si="73"/>
        <v>0</v>
      </c>
      <c r="AK10" s="54">
        <f t="shared" si="14"/>
        <v>0</v>
      </c>
      <c r="AL10" s="55">
        <f t="shared" si="15"/>
        <v>0</v>
      </c>
      <c r="AM10" s="179">
        <f t="shared" si="16"/>
        <v>3.4453661968262883E-2</v>
      </c>
      <c r="AN10" s="52">
        <f t="shared" si="17"/>
        <v>0</v>
      </c>
      <c r="AO10" s="74">
        <f t="shared" si="74"/>
        <v>0</v>
      </c>
      <c r="AP10" s="78">
        <v>0</v>
      </c>
      <c r="AQ10" s="87">
        <f t="shared" si="18"/>
        <v>0</v>
      </c>
      <c r="AR10" s="46">
        <f t="shared" si="19"/>
        <v>28.401724162888769</v>
      </c>
      <c r="AS10" s="69">
        <f t="shared" si="20"/>
        <v>2.1301293122166578E-2</v>
      </c>
      <c r="AT10" s="42">
        <f t="shared" si="21"/>
        <v>33.356277388329367</v>
      </c>
      <c r="AU10" s="79">
        <f t="shared" si="22"/>
        <v>2.5017208041247022E-2</v>
      </c>
      <c r="AV10" s="83">
        <f t="shared" si="75"/>
        <v>3.8845833840329642E-2</v>
      </c>
      <c r="AW10" s="84">
        <f t="shared" si="76"/>
        <v>1.21543399210325E-2</v>
      </c>
      <c r="AX10" s="42">
        <f t="shared" si="23"/>
        <v>2.639489953632148E-2</v>
      </c>
      <c r="AY10" s="43">
        <f t="shared" si="77"/>
        <v>8.6849391266088927E-2</v>
      </c>
      <c r="AZ10" s="85">
        <f t="shared" si="24"/>
        <v>0</v>
      </c>
      <c r="BA10" s="86">
        <f t="shared" si="78"/>
        <v>0</v>
      </c>
      <c r="BB10" s="85">
        <f t="shared" si="25"/>
        <v>0</v>
      </c>
      <c r="BC10" s="86">
        <f t="shared" si="79"/>
        <v>0</v>
      </c>
      <c r="BD10" s="85">
        <f t="shared" si="26"/>
        <v>0</v>
      </c>
      <c r="BE10" s="86">
        <f t="shared" si="80"/>
        <v>0</v>
      </c>
      <c r="BF10" s="85">
        <f t="shared" si="27"/>
        <v>0</v>
      </c>
      <c r="BG10" s="86">
        <f t="shared" si="81"/>
        <v>0</v>
      </c>
      <c r="BH10" s="85">
        <f t="shared" si="28"/>
        <v>0</v>
      </c>
      <c r="BI10" s="86">
        <f t="shared" si="82"/>
        <v>0</v>
      </c>
      <c r="BJ10" s="85">
        <f t="shared" si="29"/>
        <v>0</v>
      </c>
      <c r="BK10" s="207">
        <f t="shared" si="30"/>
        <v>0</v>
      </c>
      <c r="BL10" s="85">
        <f t="shared" si="83"/>
        <v>0.16424446456377256</v>
      </c>
      <c r="BM10" s="176">
        <f t="shared" si="84"/>
        <v>0.16424446456377256</v>
      </c>
      <c r="BN10" s="176">
        <f t="shared" si="85"/>
        <v>0.16424446456377256</v>
      </c>
      <c r="BO10" s="176">
        <f t="shared" si="86"/>
        <v>0.18554575768593914</v>
      </c>
      <c r="BP10" s="86">
        <f t="shared" si="87"/>
        <v>0.18926167260501958</v>
      </c>
      <c r="BQ10" s="211">
        <f t="shared" si="88"/>
        <v>2.5280833949704141E-2</v>
      </c>
      <c r="BR10" s="237">
        <f t="shared" si="31"/>
        <v>2.5000000000000001E-3</v>
      </c>
      <c r="BS10" s="237">
        <f t="shared" si="32"/>
        <v>0</v>
      </c>
      <c r="BT10" s="237">
        <f t="shared" si="33"/>
        <v>0</v>
      </c>
      <c r="BU10" s="237">
        <f t="shared" si="34"/>
        <v>0</v>
      </c>
      <c r="BV10" s="237">
        <f t="shared" si="35"/>
        <v>0</v>
      </c>
      <c r="BW10" s="237">
        <f t="shared" si="36"/>
        <v>0</v>
      </c>
      <c r="BX10" s="212">
        <f t="shared" si="37"/>
        <v>0</v>
      </c>
      <c r="BY10" s="238">
        <f t="shared" si="89"/>
        <v>2.778083394970414E-2</v>
      </c>
      <c r="BZ10" s="244">
        <f t="shared" si="90"/>
        <v>1.3723881286982248E-3</v>
      </c>
      <c r="CA10" s="243">
        <f t="shared" si="38"/>
        <v>4.4073529411764706E-2</v>
      </c>
      <c r="CB10" s="243">
        <f t="shared" si="39"/>
        <v>0.1008</v>
      </c>
      <c r="CC10" s="238">
        <f t="shared" si="91"/>
        <v>0.14624591754046293</v>
      </c>
      <c r="CD10" s="244">
        <f t="shared" si="40"/>
        <v>0.15</v>
      </c>
      <c r="CE10" s="243">
        <f t="shared" si="41"/>
        <v>0.09</v>
      </c>
      <c r="CF10" s="243">
        <f t="shared" si="42"/>
        <v>0</v>
      </c>
      <c r="CG10" s="243">
        <f t="shared" si="43"/>
        <v>0</v>
      </c>
      <c r="CH10" s="243">
        <f t="shared" si="44"/>
        <v>0</v>
      </c>
      <c r="CI10" s="243">
        <f t="shared" si="45"/>
        <v>0</v>
      </c>
      <c r="CJ10" s="243">
        <f t="shared" si="46"/>
        <v>0</v>
      </c>
      <c r="CK10" s="243">
        <f t="shared" si="47"/>
        <v>0</v>
      </c>
      <c r="CL10" s="243">
        <f t="shared" si="48"/>
        <v>0</v>
      </c>
      <c r="CM10" s="243">
        <f t="shared" si="49"/>
        <v>0</v>
      </c>
      <c r="CN10" s="243">
        <f t="shared" si="50"/>
        <v>0</v>
      </c>
      <c r="CO10" s="243">
        <f t="shared" si="51"/>
        <v>0</v>
      </c>
      <c r="CP10" s="243">
        <f t="shared" si="52"/>
        <v>0</v>
      </c>
      <c r="CQ10" s="243">
        <f t="shared" si="53"/>
        <v>0</v>
      </c>
      <c r="CR10" s="238">
        <f t="shared" si="54"/>
        <v>0.24</v>
      </c>
      <c r="CS10" s="246">
        <f t="shared" si="55"/>
        <v>6.9191014047978519E-2</v>
      </c>
      <c r="CT10" s="188">
        <f t="shared" si="92"/>
        <v>0.48321776553814555</v>
      </c>
      <c r="CU10" s="206">
        <f t="shared" si="56"/>
        <v>7.9832177655381455</v>
      </c>
      <c r="CV10" s="227">
        <f t="shared" si="57"/>
        <v>0.93947080240951286</v>
      </c>
      <c r="CW10">
        <f t="shared" si="58"/>
        <v>52.480000000000004</v>
      </c>
      <c r="CX10">
        <f t="shared" si="59"/>
        <v>80.445116047898381</v>
      </c>
      <c r="DA10" s="22">
        <v>7</v>
      </c>
      <c r="DB10" s="22">
        <f t="shared" si="93"/>
        <v>43.982297150257104</v>
      </c>
      <c r="DC10" s="253">
        <f t="shared" si="94"/>
        <v>26.941654976470772</v>
      </c>
      <c r="DD10" s="93">
        <f t="shared" si="95"/>
        <v>-13.202062745644641</v>
      </c>
      <c r="DE10" s="253">
        <f t="shared" si="96"/>
        <v>37.359645593823842</v>
      </c>
      <c r="DF10" s="93">
        <f t="shared" si="97"/>
        <v>-13.105202402639865</v>
      </c>
      <c r="DG10" s="251">
        <f t="shared" si="98"/>
        <v>42.60092314724708</v>
      </c>
      <c r="DH10" s="93">
        <f t="shared" si="99"/>
        <v>-17.219858857366802</v>
      </c>
      <c r="DI10" s="91">
        <f t="shared" si="100"/>
        <v>32.014550375609971</v>
      </c>
      <c r="DJ10" s="251">
        <f t="shared" si="101"/>
        <v>95.694735322658204</v>
      </c>
      <c r="DK10" s="92">
        <f t="shared" si="60"/>
        <v>32.298449610065163</v>
      </c>
      <c r="DL10" s="93">
        <f t="shared" si="61"/>
        <v>95.511371880247154</v>
      </c>
      <c r="DM10" s="253">
        <f t="shared" si="102"/>
        <v>58.956205352080744</v>
      </c>
      <c r="DN10" s="262">
        <f t="shared" si="62"/>
        <v>82.492672577013579</v>
      </c>
      <c r="DO10" s="253">
        <f t="shared" si="103"/>
        <v>69.374195969433814</v>
      </c>
      <c r="DP10" s="259">
        <f t="shared" si="104"/>
        <v>82.589532920018343</v>
      </c>
      <c r="DQ10" s="251">
        <f t="shared" si="105"/>
        <v>74.615473522857059</v>
      </c>
      <c r="DR10" s="259">
        <f t="shared" si="106"/>
        <v>78.474876465291402</v>
      </c>
      <c r="DS10" s="253">
        <f t="shared" si="107"/>
        <v>59.240104586535935</v>
      </c>
      <c r="DT10" s="261">
        <f t="shared" si="63"/>
        <v>82.309309134602515</v>
      </c>
      <c r="DU10" s="253">
        <f t="shared" si="108"/>
        <v>69.658095203889005</v>
      </c>
      <c r="DV10" s="93">
        <f t="shared" si="109"/>
        <v>82.406169477607293</v>
      </c>
      <c r="DW10" s="251">
        <f t="shared" si="110"/>
        <v>74.89937275731225</v>
      </c>
      <c r="DX10" s="93">
        <f t="shared" si="111"/>
        <v>78.291513022880352</v>
      </c>
    </row>
    <row r="11" spans="1:128" ht="15.75" thickBot="1" x14ac:dyDescent="0.3">
      <c r="A11" s="12" t="s">
        <v>299</v>
      </c>
      <c r="B11" s="12">
        <f>IF(n1_Flyback_Calc&lt;&gt;0,n1_Flyback/Np,0)</f>
        <v>0.375</v>
      </c>
      <c r="C11" s="12"/>
      <c r="L11" s="58">
        <v>7</v>
      </c>
      <c r="M11" s="62">
        <f t="shared" si="0"/>
        <v>13.56</v>
      </c>
      <c r="N11" s="42">
        <f t="shared" si="1"/>
        <v>1.2787798672464544E-4</v>
      </c>
      <c r="O11" s="19">
        <f t="shared" si="2"/>
        <v>1.1509018805218092E-4</v>
      </c>
      <c r="P11" s="43">
        <f t="shared" si="3"/>
        <v>1.0462744368380081E-4</v>
      </c>
      <c r="Q11" s="60">
        <f t="shared" si="4"/>
        <v>0.7505518763796909</v>
      </c>
      <c r="R11" s="63">
        <f t="shared" si="5"/>
        <v>0.55309734513274333</v>
      </c>
      <c r="S11" s="28">
        <f t="shared" si="6"/>
        <v>0.73692087454450816</v>
      </c>
      <c r="T11" s="12">
        <f t="shared" si="7"/>
        <v>0.21203090507726269</v>
      </c>
      <c r="U11" s="12">
        <f t="shared" si="64"/>
        <v>0.84293632708313948</v>
      </c>
      <c r="V11" s="55">
        <f t="shared" si="8"/>
        <v>1.017234407954106</v>
      </c>
      <c r="W11" s="54">
        <f t="shared" si="65"/>
        <v>0.64062537093951566</v>
      </c>
      <c r="X11" s="55">
        <f t="shared" si="66"/>
        <v>0.32324014710196969</v>
      </c>
      <c r="Y11" s="54">
        <f t="shared" si="9"/>
        <v>1.004290765372241</v>
      </c>
      <c r="Z11" s="55">
        <f t="shared" si="67"/>
        <v>0.8709764298831294</v>
      </c>
      <c r="AA11" s="54">
        <f t="shared" si="10"/>
        <v>0</v>
      </c>
      <c r="AB11" s="55">
        <f t="shared" si="68"/>
        <v>0</v>
      </c>
      <c r="AC11" s="54">
        <f t="shared" si="11"/>
        <v>0</v>
      </c>
      <c r="AD11" s="55">
        <f t="shared" si="69"/>
        <v>0</v>
      </c>
      <c r="AE11" s="54">
        <f t="shared" si="12"/>
        <v>0</v>
      </c>
      <c r="AF11" s="55">
        <f t="shared" si="70"/>
        <v>0</v>
      </c>
      <c r="AG11" s="54">
        <f t="shared" si="13"/>
        <v>0</v>
      </c>
      <c r="AH11" s="55">
        <f t="shared" si="71"/>
        <v>0</v>
      </c>
      <c r="AI11" s="54">
        <f t="shared" si="72"/>
        <v>0</v>
      </c>
      <c r="AJ11" s="177">
        <f t="shared" si="73"/>
        <v>0</v>
      </c>
      <c r="AK11" s="54">
        <f t="shared" si="14"/>
        <v>0</v>
      </c>
      <c r="AL11" s="55">
        <f t="shared" si="15"/>
        <v>0</v>
      </c>
      <c r="AM11" s="179">
        <f t="shared" si="16"/>
        <v>3.669148260043481E-2</v>
      </c>
      <c r="AN11" s="52">
        <f t="shared" si="17"/>
        <v>0</v>
      </c>
      <c r="AO11" s="74">
        <f t="shared" si="74"/>
        <v>0</v>
      </c>
      <c r="AP11" s="78">
        <v>0</v>
      </c>
      <c r="AQ11" s="87">
        <f t="shared" si="18"/>
        <v>0</v>
      </c>
      <c r="AR11" s="46">
        <f t="shared" si="19"/>
        <v>33.577021249635486</v>
      </c>
      <c r="AS11" s="69">
        <f t="shared" si="20"/>
        <v>2.5182765937226612E-2</v>
      </c>
      <c r="AT11" s="42">
        <f t="shared" si="21"/>
        <v>38.941175977747307</v>
      </c>
      <c r="AU11" s="79">
        <f t="shared" si="22"/>
        <v>2.9205881983310481E-2</v>
      </c>
      <c r="AV11" s="83">
        <f t="shared" si="75"/>
        <v>3.2904419987235131E-2</v>
      </c>
      <c r="AW11" s="84">
        <f t="shared" si="76"/>
        <v>1.1238327491914765E-2</v>
      </c>
      <c r="AX11" s="42">
        <f t="shared" si="23"/>
        <v>2.639489953632148E-2</v>
      </c>
      <c r="AY11" s="43">
        <f t="shared" si="77"/>
        <v>8.0092676967312371E-2</v>
      </c>
      <c r="AZ11" s="85">
        <f t="shared" si="24"/>
        <v>0</v>
      </c>
      <c r="BA11" s="86">
        <f t="shared" si="78"/>
        <v>0</v>
      </c>
      <c r="BB11" s="85">
        <f t="shared" si="25"/>
        <v>0</v>
      </c>
      <c r="BC11" s="86">
        <f t="shared" si="79"/>
        <v>0</v>
      </c>
      <c r="BD11" s="85">
        <f t="shared" si="26"/>
        <v>0</v>
      </c>
      <c r="BE11" s="86">
        <f t="shared" si="80"/>
        <v>0</v>
      </c>
      <c r="BF11" s="85">
        <f t="shared" si="27"/>
        <v>0</v>
      </c>
      <c r="BG11" s="86">
        <f t="shared" si="81"/>
        <v>0</v>
      </c>
      <c r="BH11" s="85">
        <f t="shared" si="28"/>
        <v>0</v>
      </c>
      <c r="BI11" s="86">
        <f t="shared" si="82"/>
        <v>0</v>
      </c>
      <c r="BJ11" s="85">
        <f t="shared" si="29"/>
        <v>0</v>
      </c>
      <c r="BK11" s="207">
        <f t="shared" si="30"/>
        <v>0</v>
      </c>
      <c r="BL11" s="85">
        <f t="shared" si="83"/>
        <v>0.15063032398278375</v>
      </c>
      <c r="BM11" s="176">
        <f t="shared" si="84"/>
        <v>0.15063032398278375</v>
      </c>
      <c r="BN11" s="176">
        <f t="shared" si="85"/>
        <v>0.15063032398278375</v>
      </c>
      <c r="BO11" s="176">
        <f t="shared" si="86"/>
        <v>0.17581308992001038</v>
      </c>
      <c r="BP11" s="86">
        <f t="shared" si="87"/>
        <v>0.17983620596609423</v>
      </c>
      <c r="BQ11" s="211">
        <f t="shared" si="88"/>
        <v>2.1414167123502234E-2</v>
      </c>
      <c r="BR11" s="237">
        <f t="shared" si="31"/>
        <v>2.5000000000000001E-3</v>
      </c>
      <c r="BS11" s="237">
        <f t="shared" si="32"/>
        <v>0</v>
      </c>
      <c r="BT11" s="237">
        <f t="shared" si="33"/>
        <v>0</v>
      </c>
      <c r="BU11" s="237">
        <f t="shared" si="34"/>
        <v>0</v>
      </c>
      <c r="BV11" s="237">
        <f t="shared" si="35"/>
        <v>0</v>
      </c>
      <c r="BW11" s="237">
        <f t="shared" si="36"/>
        <v>0</v>
      </c>
      <c r="BX11" s="212">
        <f t="shared" si="37"/>
        <v>0</v>
      </c>
      <c r="BY11" s="238">
        <f t="shared" si="89"/>
        <v>2.3914167123502233E-2</v>
      </c>
      <c r="BZ11" s="244">
        <f t="shared" si="90"/>
        <v>1.1624833581329783E-3</v>
      </c>
      <c r="CA11" s="243">
        <f t="shared" si="38"/>
        <v>4.4966911764705894E-2</v>
      </c>
      <c r="CB11" s="243">
        <f t="shared" si="39"/>
        <v>0.1008</v>
      </c>
      <c r="CC11" s="238">
        <f t="shared" si="91"/>
        <v>0.14692939512283887</v>
      </c>
      <c r="CD11" s="244">
        <f t="shared" si="40"/>
        <v>0.15</v>
      </c>
      <c r="CE11" s="243">
        <f t="shared" si="41"/>
        <v>0.09</v>
      </c>
      <c r="CF11" s="243">
        <f t="shared" si="42"/>
        <v>0</v>
      </c>
      <c r="CG11" s="243">
        <f t="shared" si="43"/>
        <v>0</v>
      </c>
      <c r="CH11" s="243">
        <f t="shared" si="44"/>
        <v>0</v>
      </c>
      <c r="CI11" s="243">
        <f t="shared" si="45"/>
        <v>0</v>
      </c>
      <c r="CJ11" s="243">
        <f t="shared" si="46"/>
        <v>0</v>
      </c>
      <c r="CK11" s="243">
        <f t="shared" si="47"/>
        <v>0</v>
      </c>
      <c r="CL11" s="243">
        <f t="shared" si="48"/>
        <v>0</v>
      </c>
      <c r="CM11" s="243">
        <f t="shared" si="49"/>
        <v>0</v>
      </c>
      <c r="CN11" s="243">
        <f t="shared" si="50"/>
        <v>0</v>
      </c>
      <c r="CO11" s="243">
        <f t="shared" si="51"/>
        <v>0</v>
      </c>
      <c r="CP11" s="243">
        <f t="shared" si="52"/>
        <v>0</v>
      </c>
      <c r="CQ11" s="243">
        <f t="shared" si="53"/>
        <v>0</v>
      </c>
      <c r="CR11" s="238">
        <f t="shared" si="54"/>
        <v>0.24</v>
      </c>
      <c r="CS11" s="246">
        <f t="shared" si="55"/>
        <v>6.23750064468888E-2</v>
      </c>
      <c r="CT11" s="188">
        <f t="shared" si="92"/>
        <v>0.47321856869322992</v>
      </c>
      <c r="CU11" s="206">
        <f t="shared" si="56"/>
        <v>7.9732185686932295</v>
      </c>
      <c r="CV11" s="227">
        <f t="shared" si="57"/>
        <v>0.94064899079133268</v>
      </c>
      <c r="CW11">
        <f t="shared" si="58"/>
        <v>53.56</v>
      </c>
      <c r="CX11">
        <f t="shared" si="59"/>
        <v>80.215987160793986</v>
      </c>
      <c r="DA11" s="22">
        <v>8</v>
      </c>
      <c r="DB11" s="22">
        <f t="shared" si="93"/>
        <v>50.26548245743669</v>
      </c>
      <c r="DC11" s="253">
        <f t="shared" si="94"/>
        <v>26.873939854606114</v>
      </c>
      <c r="DD11" s="93">
        <f t="shared" si="95"/>
        <v>-15.009861055103169</v>
      </c>
      <c r="DE11" s="253">
        <f t="shared" si="96"/>
        <v>37.291926501984122</v>
      </c>
      <c r="DF11" s="93">
        <f t="shared" si="97"/>
        <v>-14.899163556152155</v>
      </c>
      <c r="DG11" s="251">
        <f t="shared" si="98"/>
        <v>42.485923562292378</v>
      </c>
      <c r="DH11" s="93">
        <f t="shared" si="99"/>
        <v>-19.504477787610973</v>
      </c>
      <c r="DI11" s="91">
        <f t="shared" si="100"/>
        <v>30.867850770646239</v>
      </c>
      <c r="DJ11" s="251">
        <f t="shared" si="101"/>
        <v>96.501681372206534</v>
      </c>
      <c r="DK11" s="92">
        <f t="shared" si="60"/>
        <v>31.150925095783322</v>
      </c>
      <c r="DL11" s="93">
        <f t="shared" si="61"/>
        <v>96.292734964766368</v>
      </c>
      <c r="DM11" s="253">
        <f t="shared" si="102"/>
        <v>57.741790625252349</v>
      </c>
      <c r="DN11" s="262">
        <f t="shared" si="62"/>
        <v>81.491820317103347</v>
      </c>
      <c r="DO11" s="253">
        <f t="shared" si="103"/>
        <v>68.159777272630365</v>
      </c>
      <c r="DP11" s="259">
        <f t="shared" si="104"/>
        <v>81.602517816054373</v>
      </c>
      <c r="DQ11" s="251">
        <f t="shared" si="105"/>
        <v>73.353774332938613</v>
      </c>
      <c r="DR11" s="259">
        <f t="shared" si="106"/>
        <v>76.997203584595553</v>
      </c>
      <c r="DS11" s="253">
        <f t="shared" si="107"/>
        <v>58.024864950389436</v>
      </c>
      <c r="DT11" s="261">
        <f t="shared" si="63"/>
        <v>81.282873909663252</v>
      </c>
      <c r="DU11" s="253">
        <f t="shared" si="108"/>
        <v>68.442851597767444</v>
      </c>
      <c r="DV11" s="93">
        <f t="shared" si="109"/>
        <v>81.393571408614207</v>
      </c>
      <c r="DW11" s="251">
        <f t="shared" si="110"/>
        <v>73.636848658075706</v>
      </c>
      <c r="DX11" s="93">
        <f t="shared" si="111"/>
        <v>76.788257177155401</v>
      </c>
    </row>
    <row r="12" spans="1:128" ht="15.75" thickBot="1" x14ac:dyDescent="0.3">
      <c r="A12" s="12" t="s">
        <v>300</v>
      </c>
      <c r="B12" s="21">
        <f>IF(AND(Vout2&lt;&gt;0,n1_Flyback&lt;&gt;0,IoutPri_FBB=0),((ABS(Vout2)+Vdiode2)*(n1_Flyback/Np))/(ABS(Vout1)+Vdiode1),0)</f>
        <v>0</v>
      </c>
      <c r="C12" s="12"/>
      <c r="L12" s="58">
        <v>8</v>
      </c>
      <c r="M12" s="62">
        <f t="shared" si="0"/>
        <v>14.64</v>
      </c>
      <c r="N12" s="42">
        <f t="shared" si="1"/>
        <v>1.4330819220862511E-4</v>
      </c>
      <c r="O12" s="19">
        <f t="shared" si="2"/>
        <v>1.2897737298776259E-4</v>
      </c>
      <c r="P12" s="43">
        <f t="shared" si="3"/>
        <v>1.1725215726160236E-4</v>
      </c>
      <c r="Q12" s="60">
        <f t="shared" si="4"/>
        <v>0.73593073593073599</v>
      </c>
      <c r="R12" s="63">
        <f t="shared" si="5"/>
        <v>0.51229508196721307</v>
      </c>
      <c r="S12" s="28">
        <f t="shared" si="6"/>
        <v>0.69611861137897779</v>
      </c>
      <c r="T12" s="12">
        <f t="shared" si="7"/>
        <v>0.2244588744588745</v>
      </c>
      <c r="U12" s="12">
        <f t="shared" si="64"/>
        <v>0.80834804860841503</v>
      </c>
      <c r="V12" s="55">
        <f t="shared" si="8"/>
        <v>0.96608745400649976</v>
      </c>
      <c r="W12" s="54">
        <f t="shared" si="65"/>
        <v>0.59975656158630986</v>
      </c>
      <c r="X12" s="55">
        <f t="shared" si="66"/>
        <v>0.31186805248059563</v>
      </c>
      <c r="Y12" s="54">
        <f t="shared" si="9"/>
        <v>0.97688237978717307</v>
      </c>
      <c r="Z12" s="55">
        <f t="shared" si="67"/>
        <v>0.83922534753107325</v>
      </c>
      <c r="AA12" s="54">
        <f t="shared" si="10"/>
        <v>0</v>
      </c>
      <c r="AB12" s="55">
        <f t="shared" si="68"/>
        <v>0</v>
      </c>
      <c r="AC12" s="54">
        <f t="shared" si="11"/>
        <v>0</v>
      </c>
      <c r="AD12" s="55">
        <f t="shared" si="69"/>
        <v>0</v>
      </c>
      <c r="AE12" s="54">
        <f t="shared" si="12"/>
        <v>0</v>
      </c>
      <c r="AF12" s="55">
        <f t="shared" si="70"/>
        <v>0</v>
      </c>
      <c r="AG12" s="54">
        <f t="shared" si="13"/>
        <v>0</v>
      </c>
      <c r="AH12" s="55">
        <f t="shared" si="71"/>
        <v>0</v>
      </c>
      <c r="AI12" s="54">
        <f t="shared" si="72"/>
        <v>0</v>
      </c>
      <c r="AJ12" s="177">
        <f t="shared" si="73"/>
        <v>0</v>
      </c>
      <c r="AK12" s="54">
        <f t="shared" si="14"/>
        <v>0</v>
      </c>
      <c r="AL12" s="55">
        <f t="shared" si="15"/>
        <v>0</v>
      </c>
      <c r="AM12" s="179">
        <f t="shared" si="16"/>
        <v>3.8842115415768888E-2</v>
      </c>
      <c r="AN12" s="52">
        <f t="shared" si="17"/>
        <v>0</v>
      </c>
      <c r="AO12" s="74">
        <f t="shared" si="74"/>
        <v>0</v>
      </c>
      <c r="AP12" s="78">
        <v>0</v>
      </c>
      <c r="AQ12" s="87">
        <f t="shared" si="18"/>
        <v>0</v>
      </c>
      <c r="AR12" s="46">
        <f t="shared" si="19"/>
        <v>39.070072564191541</v>
      </c>
      <c r="AS12" s="69">
        <f t="shared" si="20"/>
        <v>2.9302554423143654E-2</v>
      </c>
      <c r="AT12" s="42">
        <f t="shared" si="21"/>
        <v>44.798512326123181</v>
      </c>
      <c r="AU12" s="79">
        <f t="shared" si="22"/>
        <v>3.3598884244592384E-2</v>
      </c>
      <c r="AV12" s="83">
        <f t="shared" si="75"/>
        <v>2.8228738162926991E-2</v>
      </c>
      <c r="AW12" s="84">
        <f t="shared" si="76"/>
        <v>1.0461473724170646E-2</v>
      </c>
      <c r="AX12" s="42">
        <f t="shared" si="23"/>
        <v>2.639489953632148E-2</v>
      </c>
      <c r="AY12" s="43">
        <f t="shared" si="77"/>
        <v>7.4359624814295547E-2</v>
      </c>
      <c r="AZ12" s="85">
        <f t="shared" si="24"/>
        <v>0</v>
      </c>
      <c r="BA12" s="86">
        <f t="shared" si="78"/>
        <v>0</v>
      </c>
      <c r="BB12" s="85">
        <f t="shared" si="25"/>
        <v>0</v>
      </c>
      <c r="BC12" s="86">
        <f t="shared" si="79"/>
        <v>0</v>
      </c>
      <c r="BD12" s="85">
        <f t="shared" si="26"/>
        <v>0</v>
      </c>
      <c r="BE12" s="86">
        <f t="shared" si="80"/>
        <v>0</v>
      </c>
      <c r="BF12" s="85">
        <f t="shared" si="27"/>
        <v>0</v>
      </c>
      <c r="BG12" s="86">
        <f t="shared" si="81"/>
        <v>0</v>
      </c>
      <c r="BH12" s="85">
        <f t="shared" si="28"/>
        <v>0</v>
      </c>
      <c r="BI12" s="86">
        <f t="shared" si="82"/>
        <v>0</v>
      </c>
      <c r="BJ12" s="85">
        <f t="shared" si="29"/>
        <v>0</v>
      </c>
      <c r="BK12" s="207">
        <f t="shared" si="30"/>
        <v>0</v>
      </c>
      <c r="BL12" s="85">
        <f t="shared" si="83"/>
        <v>0.13944473623771464</v>
      </c>
      <c r="BM12" s="176">
        <f t="shared" si="84"/>
        <v>0.13944473623771464</v>
      </c>
      <c r="BN12" s="176">
        <f t="shared" si="85"/>
        <v>0.13944473623771464</v>
      </c>
      <c r="BO12" s="176">
        <f t="shared" si="86"/>
        <v>0.16874729066085831</v>
      </c>
      <c r="BP12" s="86">
        <f t="shared" si="87"/>
        <v>0.17304362048230704</v>
      </c>
      <c r="BQ12" s="211">
        <f t="shared" si="88"/>
        <v>1.837123757054555E-2</v>
      </c>
      <c r="BR12" s="237">
        <f t="shared" si="31"/>
        <v>2.5000000000000001E-3</v>
      </c>
      <c r="BS12" s="237">
        <f t="shared" si="32"/>
        <v>0</v>
      </c>
      <c r="BT12" s="237">
        <f t="shared" si="33"/>
        <v>0</v>
      </c>
      <c r="BU12" s="237">
        <f t="shared" si="34"/>
        <v>0</v>
      </c>
      <c r="BV12" s="237">
        <f t="shared" si="35"/>
        <v>0</v>
      </c>
      <c r="BW12" s="237">
        <f t="shared" si="36"/>
        <v>0</v>
      </c>
      <c r="BX12" s="212">
        <f t="shared" si="37"/>
        <v>0</v>
      </c>
      <c r="BY12" s="238">
        <f t="shared" si="89"/>
        <v>2.0871237570545549E-2</v>
      </c>
      <c r="BZ12" s="244">
        <f t="shared" si="90"/>
        <v>9.9729575382961552E-4</v>
      </c>
      <c r="CA12" s="243">
        <f t="shared" si="38"/>
        <v>4.5860294117647069E-2</v>
      </c>
      <c r="CB12" s="243">
        <f t="shared" si="39"/>
        <v>0.1008</v>
      </c>
      <c r="CC12" s="238">
        <f t="shared" si="91"/>
        <v>0.1476575898714767</v>
      </c>
      <c r="CD12" s="244">
        <f t="shared" si="40"/>
        <v>0.15</v>
      </c>
      <c r="CE12" s="243">
        <f t="shared" si="41"/>
        <v>0.09</v>
      </c>
      <c r="CF12" s="243">
        <f t="shared" si="42"/>
        <v>0</v>
      </c>
      <c r="CG12" s="243">
        <f t="shared" si="43"/>
        <v>0</v>
      </c>
      <c r="CH12" s="243">
        <f t="shared" si="44"/>
        <v>0</v>
      </c>
      <c r="CI12" s="243">
        <f t="shared" si="45"/>
        <v>0</v>
      </c>
      <c r="CJ12" s="243">
        <f t="shared" si="46"/>
        <v>0</v>
      </c>
      <c r="CK12" s="243">
        <f t="shared" si="47"/>
        <v>0</v>
      </c>
      <c r="CL12" s="243">
        <f t="shared" si="48"/>
        <v>0</v>
      </c>
      <c r="CM12" s="243">
        <f t="shared" si="49"/>
        <v>0</v>
      </c>
      <c r="CN12" s="243">
        <f t="shared" si="50"/>
        <v>0</v>
      </c>
      <c r="CO12" s="243">
        <f t="shared" si="51"/>
        <v>0</v>
      </c>
      <c r="CP12" s="243">
        <f t="shared" si="52"/>
        <v>0</v>
      </c>
      <c r="CQ12" s="243">
        <f t="shared" si="53"/>
        <v>0</v>
      </c>
      <c r="CR12" s="238">
        <f t="shared" si="54"/>
        <v>0.24</v>
      </c>
      <c r="CS12" s="246">
        <f t="shared" si="55"/>
        <v>5.6900736347417422E-2</v>
      </c>
      <c r="CT12" s="188">
        <f t="shared" si="92"/>
        <v>0.46542956378943967</v>
      </c>
      <c r="CU12" s="206">
        <f t="shared" si="56"/>
        <v>7.9654295637894394</v>
      </c>
      <c r="CV12" s="227">
        <f t="shared" si="57"/>
        <v>0.94156880554122713</v>
      </c>
      <c r="CW12">
        <f t="shared" si="58"/>
        <v>54.64</v>
      </c>
      <c r="CX12">
        <f t="shared" si="59"/>
        <v>80.202209757550946</v>
      </c>
      <c r="DA12" s="22">
        <v>9</v>
      </c>
      <c r="DB12" s="22">
        <f t="shared" si="93"/>
        <v>56.548667764616276</v>
      </c>
      <c r="DC12" s="253">
        <f t="shared" si="94"/>
        <v>26.798451280377019</v>
      </c>
      <c r="DD12" s="93">
        <f t="shared" si="95"/>
        <v>-16.788336554584742</v>
      </c>
      <c r="DE12" s="253">
        <f t="shared" si="96"/>
        <v>37.216433428454515</v>
      </c>
      <c r="DF12" s="93">
        <f t="shared" si="97"/>
        <v>-16.663801914051959</v>
      </c>
      <c r="DG12" s="251">
        <f t="shared" si="98"/>
        <v>42.359169030435069</v>
      </c>
      <c r="DH12" s="93">
        <f t="shared" si="99"/>
        <v>-21.72634730116685</v>
      </c>
      <c r="DI12" s="91">
        <f t="shared" si="100"/>
        <v>29.859643668516554</v>
      </c>
      <c r="DJ12" s="251">
        <f t="shared" si="101"/>
        <v>97.306024827876527</v>
      </c>
      <c r="DK12" s="92">
        <f t="shared" si="60"/>
        <v>30.141788913252977</v>
      </c>
      <c r="DL12" s="93">
        <f t="shared" si="61"/>
        <v>97.071735326055475</v>
      </c>
      <c r="DM12" s="253">
        <f t="shared" si="102"/>
        <v>56.658094948893577</v>
      </c>
      <c r="DN12" s="262">
        <f t="shared" si="62"/>
        <v>80.517688273291796</v>
      </c>
      <c r="DO12" s="253">
        <f t="shared" si="103"/>
        <v>67.076077096971062</v>
      </c>
      <c r="DP12" s="259">
        <f t="shared" si="104"/>
        <v>80.642222913824568</v>
      </c>
      <c r="DQ12" s="251">
        <f t="shared" si="105"/>
        <v>72.218812698951623</v>
      </c>
      <c r="DR12" s="259">
        <f t="shared" si="106"/>
        <v>75.579677526709673</v>
      </c>
      <c r="DS12" s="253">
        <f t="shared" si="107"/>
        <v>56.940240193629997</v>
      </c>
      <c r="DT12" s="261">
        <f t="shared" si="63"/>
        <v>80.283398771470743</v>
      </c>
      <c r="DU12" s="253">
        <f t="shared" si="108"/>
        <v>67.358222341707489</v>
      </c>
      <c r="DV12" s="93">
        <f t="shared" si="109"/>
        <v>80.407933412003516</v>
      </c>
      <c r="DW12" s="251">
        <f t="shared" si="110"/>
        <v>72.50095794368805</v>
      </c>
      <c r="DX12" s="93">
        <f t="shared" si="111"/>
        <v>75.345388024888621</v>
      </c>
    </row>
    <row r="13" spans="1:128" ht="15.75" thickBot="1" x14ac:dyDescent="0.3">
      <c r="A13" s="12" t="s">
        <v>301</v>
      </c>
      <c r="B13" s="12">
        <f>IF(n2_Flyback_Calc&lt;&gt;0,n2_Flyback/Np,0)</f>
        <v>0</v>
      </c>
      <c r="C13" s="12"/>
      <c r="L13" s="58">
        <v>9</v>
      </c>
      <c r="M13" s="62">
        <f t="shared" si="0"/>
        <v>15.72</v>
      </c>
      <c r="N13" s="42">
        <f t="shared" si="1"/>
        <v>1.5897765416572133E-4</v>
      </c>
      <c r="O13" s="19">
        <f t="shared" si="2"/>
        <v>1.430798887491492E-4</v>
      </c>
      <c r="P13" s="43">
        <f t="shared" si="3"/>
        <v>1.3007262613559016E-4</v>
      </c>
      <c r="Q13" s="60">
        <f t="shared" si="4"/>
        <v>0.72186836518046715</v>
      </c>
      <c r="R13" s="63">
        <f t="shared" si="5"/>
        <v>0.47709923664122134</v>
      </c>
      <c r="S13" s="28">
        <f t="shared" si="6"/>
        <v>0.66092276605298594</v>
      </c>
      <c r="T13" s="12">
        <f t="shared" si="7"/>
        <v>0.23641188959660306</v>
      </c>
      <c r="U13" s="12">
        <f t="shared" si="64"/>
        <v>0.77912871085128743</v>
      </c>
      <c r="V13" s="55">
        <f t="shared" si="8"/>
        <v>0.92180110299859308</v>
      </c>
      <c r="W13" s="54">
        <f t="shared" si="65"/>
        <v>0.56452447604742073</v>
      </c>
      <c r="X13" s="55">
        <f t="shared" si="66"/>
        <v>0.30176845834675764</v>
      </c>
      <c r="Y13" s="54">
        <f t="shared" si="9"/>
        <v>0.95273767186979297</v>
      </c>
      <c r="Z13" s="55">
        <f t="shared" si="67"/>
        <v>0.81099264571256957</v>
      </c>
      <c r="AA13" s="54">
        <f t="shared" si="10"/>
        <v>0</v>
      </c>
      <c r="AB13" s="55">
        <f t="shared" si="68"/>
        <v>0</v>
      </c>
      <c r="AC13" s="54">
        <f t="shared" si="11"/>
        <v>0</v>
      </c>
      <c r="AD13" s="55">
        <f t="shared" si="69"/>
        <v>0</v>
      </c>
      <c r="AE13" s="54">
        <f t="shared" si="12"/>
        <v>0</v>
      </c>
      <c r="AF13" s="55">
        <f t="shared" si="70"/>
        <v>0</v>
      </c>
      <c r="AG13" s="54">
        <f t="shared" si="13"/>
        <v>0</v>
      </c>
      <c r="AH13" s="55">
        <f t="shared" si="71"/>
        <v>0</v>
      </c>
      <c r="AI13" s="54">
        <f t="shared" si="72"/>
        <v>0</v>
      </c>
      <c r="AJ13" s="177">
        <f t="shared" si="73"/>
        <v>0</v>
      </c>
      <c r="AK13" s="54">
        <f t="shared" si="14"/>
        <v>0</v>
      </c>
      <c r="AL13" s="55">
        <f t="shared" si="15"/>
        <v>0</v>
      </c>
      <c r="AM13" s="179">
        <f t="shared" si="16"/>
        <v>4.0910558441981923E-2</v>
      </c>
      <c r="AN13" s="52">
        <f t="shared" si="17"/>
        <v>0</v>
      </c>
      <c r="AO13" s="74">
        <f t="shared" si="74"/>
        <v>0</v>
      </c>
      <c r="AP13" s="78">
        <v>0</v>
      </c>
      <c r="AQ13" s="87">
        <f t="shared" si="18"/>
        <v>0</v>
      </c>
      <c r="AR13" s="46">
        <f t="shared" si="19"/>
        <v>44.851890860490983</v>
      </c>
      <c r="AS13" s="69">
        <f t="shared" si="20"/>
        <v>3.3638918145368235E-2</v>
      </c>
      <c r="AT13" s="42">
        <f t="shared" si="21"/>
        <v>50.897168721385199</v>
      </c>
      <c r="AU13" s="79">
        <f t="shared" si="22"/>
        <v>3.8172876541038903E-2</v>
      </c>
      <c r="AV13" s="83">
        <f t="shared" si="75"/>
        <v>2.4483220023134161E-2</v>
      </c>
      <c r="AW13" s="84">
        <f t="shared" si="76"/>
        <v>9.7948723488703055E-3</v>
      </c>
      <c r="AX13" s="42">
        <f t="shared" si="23"/>
        <v>2.639489953632148E-2</v>
      </c>
      <c r="AY13" s="43">
        <f t="shared" si="77"/>
        <v>6.9440659454907794E-2</v>
      </c>
      <c r="AZ13" s="85">
        <f t="shared" si="24"/>
        <v>0</v>
      </c>
      <c r="BA13" s="86">
        <f t="shared" si="78"/>
        <v>0</v>
      </c>
      <c r="BB13" s="85">
        <f t="shared" si="25"/>
        <v>0</v>
      </c>
      <c r="BC13" s="86">
        <f t="shared" si="79"/>
        <v>0</v>
      </c>
      <c r="BD13" s="85">
        <f t="shared" si="26"/>
        <v>0</v>
      </c>
      <c r="BE13" s="86">
        <f t="shared" si="80"/>
        <v>0</v>
      </c>
      <c r="BF13" s="85">
        <f t="shared" si="27"/>
        <v>0</v>
      </c>
      <c r="BG13" s="86">
        <f t="shared" si="81"/>
        <v>0</v>
      </c>
      <c r="BH13" s="85">
        <f t="shared" si="28"/>
        <v>0</v>
      </c>
      <c r="BI13" s="86">
        <f t="shared" si="82"/>
        <v>0</v>
      </c>
      <c r="BJ13" s="85">
        <f t="shared" si="29"/>
        <v>0</v>
      </c>
      <c r="BK13" s="207">
        <f t="shared" si="30"/>
        <v>0</v>
      </c>
      <c r="BL13" s="85">
        <f t="shared" si="83"/>
        <v>0.13011365136323375</v>
      </c>
      <c r="BM13" s="176">
        <f t="shared" si="84"/>
        <v>0.13011365136323375</v>
      </c>
      <c r="BN13" s="176">
        <f t="shared" si="85"/>
        <v>0.13011365136323375</v>
      </c>
      <c r="BO13" s="176">
        <f t="shared" si="86"/>
        <v>0.16375256950860198</v>
      </c>
      <c r="BP13" s="86">
        <f t="shared" si="87"/>
        <v>0.16828652790427265</v>
      </c>
      <c r="BQ13" s="211">
        <f t="shared" si="88"/>
        <v>1.593365771225453E-2</v>
      </c>
      <c r="BR13" s="237">
        <f t="shared" si="31"/>
        <v>2.5000000000000001E-3</v>
      </c>
      <c r="BS13" s="237">
        <f t="shared" si="32"/>
        <v>0</v>
      </c>
      <c r="BT13" s="237">
        <f t="shared" si="33"/>
        <v>0</v>
      </c>
      <c r="BU13" s="237">
        <f t="shared" si="34"/>
        <v>0</v>
      </c>
      <c r="BV13" s="237">
        <f t="shared" si="35"/>
        <v>0</v>
      </c>
      <c r="BW13" s="237">
        <f t="shared" si="36"/>
        <v>0</v>
      </c>
      <c r="BX13" s="212">
        <f t="shared" si="37"/>
        <v>0</v>
      </c>
      <c r="BY13" s="238">
        <f t="shared" si="89"/>
        <v>1.8433657712254529E-2</v>
      </c>
      <c r="BZ13" s="244">
        <f t="shared" si="90"/>
        <v>8.649699900938172E-4</v>
      </c>
      <c r="CA13" s="243">
        <f t="shared" si="38"/>
        <v>4.6753676470588236E-2</v>
      </c>
      <c r="CB13" s="243">
        <f t="shared" si="39"/>
        <v>0.1008</v>
      </c>
      <c r="CC13" s="238">
        <f t="shared" si="91"/>
        <v>0.14841864646068206</v>
      </c>
      <c r="CD13" s="244">
        <f t="shared" si="40"/>
        <v>0.15</v>
      </c>
      <c r="CE13" s="243">
        <f t="shared" si="41"/>
        <v>0.09</v>
      </c>
      <c r="CF13" s="243">
        <f t="shared" si="42"/>
        <v>0</v>
      </c>
      <c r="CG13" s="243">
        <f t="shared" si="43"/>
        <v>0</v>
      </c>
      <c r="CH13" s="243">
        <f t="shared" si="44"/>
        <v>0</v>
      </c>
      <c r="CI13" s="243">
        <f t="shared" si="45"/>
        <v>0</v>
      </c>
      <c r="CJ13" s="243">
        <f t="shared" si="46"/>
        <v>0</v>
      </c>
      <c r="CK13" s="243">
        <f t="shared" si="47"/>
        <v>0</v>
      </c>
      <c r="CL13" s="243">
        <f t="shared" si="48"/>
        <v>0</v>
      </c>
      <c r="CM13" s="243">
        <f t="shared" si="49"/>
        <v>0</v>
      </c>
      <c r="CN13" s="243">
        <f t="shared" si="50"/>
        <v>0</v>
      </c>
      <c r="CO13" s="243">
        <f t="shared" si="51"/>
        <v>0</v>
      </c>
      <c r="CP13" s="243">
        <f t="shared" si="52"/>
        <v>0</v>
      </c>
      <c r="CQ13" s="243">
        <f t="shared" si="53"/>
        <v>0</v>
      </c>
      <c r="CR13" s="238">
        <f t="shared" si="54"/>
        <v>0.24</v>
      </c>
      <c r="CS13" s="246">
        <f t="shared" si="55"/>
        <v>5.2423974166404839E-2</v>
      </c>
      <c r="CT13" s="188">
        <f t="shared" si="92"/>
        <v>0.45927627833934143</v>
      </c>
      <c r="CU13" s="206">
        <f t="shared" si="56"/>
        <v>7.9592762783393418</v>
      </c>
      <c r="CV13" s="227">
        <f t="shared" si="57"/>
        <v>0.94229672871273074</v>
      </c>
      <c r="CW13">
        <f t="shared" si="58"/>
        <v>55.72</v>
      </c>
      <c r="CX13">
        <f t="shared" si="59"/>
        <v>80.358213167208149</v>
      </c>
      <c r="DA13" s="22">
        <v>10</v>
      </c>
      <c r="DB13" s="22">
        <f t="shared" si="93"/>
        <v>62.831853071795862</v>
      </c>
      <c r="DC13" s="253">
        <f t="shared" si="94"/>
        <v>26.715606120439233</v>
      </c>
      <c r="DD13" s="93">
        <f t="shared" si="95"/>
        <v>-18.534949517740923</v>
      </c>
      <c r="DE13" s="253">
        <f t="shared" si="96"/>
        <v>37.133583239892509</v>
      </c>
      <c r="DF13" s="93">
        <f t="shared" si="97"/>
        <v>-18.396577751786506</v>
      </c>
      <c r="DG13" s="251">
        <f t="shared" si="98"/>
        <v>42.221746914633371</v>
      </c>
      <c r="DH13" s="93">
        <f t="shared" si="99"/>
        <v>-23.881618125686561</v>
      </c>
      <c r="DI13" s="91">
        <f t="shared" si="100"/>
        <v>28.961023664351234</v>
      </c>
      <c r="DJ13" s="251">
        <f t="shared" si="101"/>
        <v>98.1074603055648</v>
      </c>
      <c r="DK13" s="92">
        <f t="shared" si="60"/>
        <v>29.242137766631355</v>
      </c>
      <c r="DL13" s="93">
        <f t="shared" si="61"/>
        <v>97.848094596919566</v>
      </c>
      <c r="DM13" s="253">
        <f t="shared" si="102"/>
        <v>55.676629784790464</v>
      </c>
      <c r="DN13" s="262">
        <f t="shared" si="62"/>
        <v>79.572510787823902</v>
      </c>
      <c r="DO13" s="253">
        <f t="shared" si="103"/>
        <v>66.094606904243747</v>
      </c>
      <c r="DP13" s="259">
        <f t="shared" si="104"/>
        <v>79.710882553778291</v>
      </c>
      <c r="DQ13" s="251">
        <f t="shared" si="105"/>
        <v>71.182770578984602</v>
      </c>
      <c r="DR13" s="259">
        <f t="shared" si="106"/>
        <v>74.225842179878242</v>
      </c>
      <c r="DS13" s="253">
        <f t="shared" si="107"/>
        <v>55.957743887070592</v>
      </c>
      <c r="DT13" s="261">
        <f t="shared" si="63"/>
        <v>79.313145079178653</v>
      </c>
      <c r="DU13" s="253">
        <f t="shared" si="108"/>
        <v>66.375721006523861</v>
      </c>
      <c r="DV13" s="93">
        <f t="shared" si="109"/>
        <v>79.451516845133057</v>
      </c>
      <c r="DW13" s="251">
        <f t="shared" si="110"/>
        <v>71.46388468126473</v>
      </c>
      <c r="DX13" s="93">
        <f t="shared" si="111"/>
        <v>73.966476471233008</v>
      </c>
    </row>
    <row r="14" spans="1:128" ht="15.75" thickBot="1" x14ac:dyDescent="0.3">
      <c r="A14" s="12" t="s">
        <v>302</v>
      </c>
      <c r="B14" s="21">
        <f>IF(AND(Vout3&lt;&gt;0,n1_Flyback&lt;&gt;0,IoutPri_FBB=0),((ABS(Vout3)+Vdiode3)*(n1_Flyback/Np))/(ABS(Vout1)+Vdiode1),0)</f>
        <v>0</v>
      </c>
      <c r="C14" s="12"/>
      <c r="L14" s="58">
        <v>10</v>
      </c>
      <c r="M14" s="62">
        <f t="shared" si="0"/>
        <v>16.8</v>
      </c>
      <c r="N14" s="42">
        <f t="shared" si="1"/>
        <v>1.7482716049382717E-4</v>
      </c>
      <c r="O14" s="19">
        <f t="shared" si="2"/>
        <v>1.5734444444444448E-4</v>
      </c>
      <c r="P14" s="43">
        <f t="shared" si="3"/>
        <v>1.4304040404040401E-4</v>
      </c>
      <c r="Q14" s="60">
        <f t="shared" si="4"/>
        <v>0.70833333333333337</v>
      </c>
      <c r="R14" s="63">
        <f t="shared" si="5"/>
        <v>0.4464285714285714</v>
      </c>
      <c r="S14" s="28">
        <f t="shared" si="6"/>
        <v>0.63025210084033612</v>
      </c>
      <c r="T14" s="12">
        <f t="shared" si="7"/>
        <v>0.2479166666666667</v>
      </c>
      <c r="U14" s="12">
        <f t="shared" si="64"/>
        <v>0.75421043417366951</v>
      </c>
      <c r="V14" s="55">
        <f t="shared" si="8"/>
        <v>0.88308937369782847</v>
      </c>
      <c r="W14" s="54">
        <f t="shared" si="65"/>
        <v>0.53384506184618019</v>
      </c>
      <c r="X14" s="55">
        <f t="shared" si="66"/>
        <v>0.29273209709527392</v>
      </c>
      <c r="Y14" s="54">
        <f t="shared" si="9"/>
        <v>0.9313181649377289</v>
      </c>
      <c r="Z14" s="55">
        <f t="shared" si="67"/>
        <v>0.78571847651877125</v>
      </c>
      <c r="AA14" s="54">
        <f t="shared" si="10"/>
        <v>0</v>
      </c>
      <c r="AB14" s="55">
        <f t="shared" si="68"/>
        <v>0</v>
      </c>
      <c r="AC14" s="54">
        <f t="shared" si="11"/>
        <v>0</v>
      </c>
      <c r="AD14" s="55">
        <f t="shared" si="69"/>
        <v>0</v>
      </c>
      <c r="AE14" s="54">
        <f t="shared" si="12"/>
        <v>0</v>
      </c>
      <c r="AF14" s="55">
        <f t="shared" si="70"/>
        <v>0</v>
      </c>
      <c r="AG14" s="54">
        <f t="shared" si="13"/>
        <v>0</v>
      </c>
      <c r="AH14" s="55">
        <f t="shared" si="71"/>
        <v>0</v>
      </c>
      <c r="AI14" s="54">
        <f t="shared" si="72"/>
        <v>0</v>
      </c>
      <c r="AJ14" s="177">
        <f t="shared" si="73"/>
        <v>0</v>
      </c>
      <c r="AK14" s="54">
        <f t="shared" si="14"/>
        <v>0</v>
      </c>
      <c r="AL14" s="55">
        <f t="shared" si="15"/>
        <v>0</v>
      </c>
      <c r="AM14" s="179">
        <f t="shared" si="16"/>
        <v>4.2901434854711949E-2</v>
      </c>
      <c r="AN14" s="52">
        <f t="shared" si="17"/>
        <v>0</v>
      </c>
      <c r="AO14" s="74">
        <f t="shared" si="74"/>
        <v>0</v>
      </c>
      <c r="AP14" s="78">
        <v>0</v>
      </c>
      <c r="AQ14" s="87">
        <f t="shared" si="18"/>
        <v>0</v>
      </c>
      <c r="AR14" s="46">
        <f t="shared" si="19"/>
        <v>50.894822809173434</v>
      </c>
      <c r="AS14" s="69">
        <f t="shared" si="20"/>
        <v>3.8171117106880079E-2</v>
      </c>
      <c r="AT14" s="42">
        <f t="shared" si="21"/>
        <v>57.208319745255125</v>
      </c>
      <c r="AU14" s="79">
        <f t="shared" si="22"/>
        <v>4.2906239808941343E-2</v>
      </c>
      <c r="AV14" s="83">
        <f t="shared" si="75"/>
        <v>2.1436558102908437E-2</v>
      </c>
      <c r="AW14" s="84">
        <f t="shared" si="76"/>
        <v>9.2170465326718645E-3</v>
      </c>
      <c r="AX14" s="42">
        <f t="shared" si="23"/>
        <v>2.639489953632148E-2</v>
      </c>
      <c r="AY14" s="43">
        <f t="shared" si="77"/>
        <v>6.5179937013707695E-2</v>
      </c>
      <c r="AZ14" s="85">
        <f t="shared" si="24"/>
        <v>0</v>
      </c>
      <c r="BA14" s="86">
        <f t="shared" si="78"/>
        <v>0</v>
      </c>
      <c r="BB14" s="85">
        <f t="shared" si="25"/>
        <v>0</v>
      </c>
      <c r="BC14" s="86">
        <f t="shared" si="79"/>
        <v>0</v>
      </c>
      <c r="BD14" s="85">
        <f t="shared" si="26"/>
        <v>0</v>
      </c>
      <c r="BE14" s="86">
        <f t="shared" si="80"/>
        <v>0</v>
      </c>
      <c r="BF14" s="85">
        <f t="shared" si="27"/>
        <v>0</v>
      </c>
      <c r="BG14" s="86">
        <f t="shared" si="81"/>
        <v>0</v>
      </c>
      <c r="BH14" s="85">
        <f t="shared" si="28"/>
        <v>0</v>
      </c>
      <c r="BI14" s="86">
        <f t="shared" si="82"/>
        <v>0</v>
      </c>
      <c r="BJ14" s="85">
        <f t="shared" si="29"/>
        <v>0</v>
      </c>
      <c r="BK14" s="207">
        <f t="shared" si="30"/>
        <v>0</v>
      </c>
      <c r="BL14" s="85">
        <f t="shared" si="83"/>
        <v>0.12222844118560948</v>
      </c>
      <c r="BM14" s="176">
        <f t="shared" si="84"/>
        <v>0.12222844118560948</v>
      </c>
      <c r="BN14" s="176">
        <f t="shared" si="85"/>
        <v>0.12222844118560948</v>
      </c>
      <c r="BO14" s="176">
        <f t="shared" si="86"/>
        <v>0.16039955829248956</v>
      </c>
      <c r="BP14" s="86">
        <f t="shared" si="87"/>
        <v>0.16513468099455081</v>
      </c>
      <c r="BQ14" s="211">
        <f t="shared" si="88"/>
        <v>1.3950892857142858E-2</v>
      </c>
      <c r="BR14" s="237">
        <f t="shared" si="31"/>
        <v>2.5000000000000001E-3</v>
      </c>
      <c r="BS14" s="237">
        <f t="shared" si="32"/>
        <v>0</v>
      </c>
      <c r="BT14" s="237">
        <f t="shared" si="33"/>
        <v>0</v>
      </c>
      <c r="BU14" s="237">
        <f t="shared" si="34"/>
        <v>0</v>
      </c>
      <c r="BV14" s="237">
        <f t="shared" si="35"/>
        <v>0</v>
      </c>
      <c r="BW14" s="237">
        <f t="shared" si="36"/>
        <v>0</v>
      </c>
      <c r="BX14" s="212">
        <f t="shared" si="37"/>
        <v>0</v>
      </c>
      <c r="BY14" s="238">
        <f t="shared" si="89"/>
        <v>1.6450892857142858E-2</v>
      </c>
      <c r="BZ14" s="244">
        <f t="shared" si="90"/>
        <v>7.5733418367346936E-4</v>
      </c>
      <c r="CA14" s="243">
        <f t="shared" si="38"/>
        <v>4.7647058823529417E-2</v>
      </c>
      <c r="CB14" s="243">
        <f t="shared" si="39"/>
        <v>0.1008</v>
      </c>
      <c r="CC14" s="238">
        <f t="shared" si="91"/>
        <v>0.1492043930072029</v>
      </c>
      <c r="CD14" s="244">
        <f t="shared" si="40"/>
        <v>0.15</v>
      </c>
      <c r="CE14" s="243">
        <f t="shared" si="41"/>
        <v>0.09</v>
      </c>
      <c r="CF14" s="243">
        <f t="shared" si="42"/>
        <v>0</v>
      </c>
      <c r="CG14" s="243">
        <f t="shared" si="43"/>
        <v>0</v>
      </c>
      <c r="CH14" s="243">
        <f t="shared" si="44"/>
        <v>0</v>
      </c>
      <c r="CI14" s="243">
        <f t="shared" si="45"/>
        <v>0</v>
      </c>
      <c r="CJ14" s="243">
        <f t="shared" si="46"/>
        <v>0</v>
      </c>
      <c r="CK14" s="243">
        <f t="shared" si="47"/>
        <v>0</v>
      </c>
      <c r="CL14" s="243">
        <f t="shared" si="48"/>
        <v>0</v>
      </c>
      <c r="CM14" s="243">
        <f t="shared" si="49"/>
        <v>0</v>
      </c>
      <c r="CN14" s="243">
        <f t="shared" si="50"/>
        <v>0</v>
      </c>
      <c r="CO14" s="243">
        <f t="shared" si="51"/>
        <v>0</v>
      </c>
      <c r="CP14" s="243">
        <f t="shared" si="52"/>
        <v>0</v>
      </c>
      <c r="CQ14" s="243">
        <f t="shared" si="53"/>
        <v>0</v>
      </c>
      <c r="CR14" s="238">
        <f t="shared" si="54"/>
        <v>0.24</v>
      </c>
      <c r="CS14" s="246">
        <f t="shared" si="55"/>
        <v>4.8704832237673294E-2</v>
      </c>
      <c r="CT14" s="188">
        <f t="shared" si="92"/>
        <v>0.45436011810201904</v>
      </c>
      <c r="CU14" s="206">
        <f t="shared" si="56"/>
        <v>7.9543601181020192</v>
      </c>
      <c r="CV14" s="227">
        <f t="shared" si="57"/>
        <v>0.94287911141110947</v>
      </c>
      <c r="CW14">
        <f t="shared" si="58"/>
        <v>56.8</v>
      </c>
      <c r="CX14">
        <f t="shared" si="59"/>
        <v>80.65022807053289</v>
      </c>
      <c r="DA14" s="22">
        <v>20</v>
      </c>
      <c r="DB14" s="22">
        <f t="shared" si="93"/>
        <v>125.66370614359172</v>
      </c>
      <c r="DC14" s="253">
        <f t="shared" si="94"/>
        <v>25.581733603522316</v>
      </c>
      <c r="DD14" s="93">
        <f t="shared" si="95"/>
        <v>-33.914134770989129</v>
      </c>
      <c r="DE14" s="253">
        <f t="shared" si="96"/>
        <v>35.999631324456544</v>
      </c>
      <c r="DF14" s="93">
        <f t="shared" si="97"/>
        <v>-33.637393034631515</v>
      </c>
      <c r="DG14" s="251">
        <f t="shared" si="98"/>
        <v>40.484646201745463</v>
      </c>
      <c r="DH14" s="93">
        <f t="shared" si="99"/>
        <v>-41.523659739814377</v>
      </c>
      <c r="DI14" s="91">
        <f t="shared" si="100"/>
        <v>23.193410783330922</v>
      </c>
      <c r="DJ14" s="251">
        <f t="shared" si="101"/>
        <v>105.9002433313629</v>
      </c>
      <c r="DK14" s="92">
        <f t="shared" si="60"/>
        <v>23.459194522292606</v>
      </c>
      <c r="DL14" s="93">
        <f t="shared" si="61"/>
        <v>105.40993681039981</v>
      </c>
      <c r="DM14" s="253">
        <f t="shared" si="102"/>
        <v>48.775144386853242</v>
      </c>
      <c r="DN14" s="262">
        <f t="shared" si="62"/>
        <v>71.986108560373751</v>
      </c>
      <c r="DO14" s="253">
        <f t="shared" si="103"/>
        <v>59.193042107787463</v>
      </c>
      <c r="DP14" s="259">
        <f t="shared" si="104"/>
        <v>72.262850296731386</v>
      </c>
      <c r="DQ14" s="251">
        <f t="shared" si="105"/>
        <v>63.678056985076381</v>
      </c>
      <c r="DR14" s="259">
        <f t="shared" si="106"/>
        <v>64.376583591548524</v>
      </c>
      <c r="DS14" s="253">
        <f t="shared" si="107"/>
        <v>49.040928125814922</v>
      </c>
      <c r="DT14" s="261">
        <f t="shared" si="63"/>
        <v>71.495802039410663</v>
      </c>
      <c r="DU14" s="253">
        <f t="shared" si="108"/>
        <v>59.45882584674915</v>
      </c>
      <c r="DV14" s="93">
        <f t="shared" si="109"/>
        <v>71.772543775768298</v>
      </c>
      <c r="DW14" s="251">
        <f t="shared" si="110"/>
        <v>63.943840724038068</v>
      </c>
      <c r="DX14" s="93">
        <f t="shared" si="111"/>
        <v>63.886277070585436</v>
      </c>
    </row>
    <row r="15" spans="1:128" ht="15.75" thickBot="1" x14ac:dyDescent="0.3">
      <c r="A15" s="12" t="s">
        <v>303</v>
      </c>
      <c r="B15" s="12">
        <f>IF(n3_Flyback_Calc&lt;&gt;0,n3_Flyback/Np,0)</f>
        <v>0</v>
      </c>
      <c r="C15" s="12"/>
      <c r="E15" t="s">
        <v>23</v>
      </c>
      <c r="L15" s="58">
        <v>11</v>
      </c>
      <c r="M15" s="62">
        <f t="shared" si="0"/>
        <v>17.880000000000003</v>
      </c>
      <c r="N15" s="42">
        <f t="shared" si="1"/>
        <v>1.9080516465629446E-4</v>
      </c>
      <c r="O15" s="19">
        <f t="shared" si="2"/>
        <v>1.7172464819066501E-4</v>
      </c>
      <c r="P15" s="43">
        <f t="shared" si="3"/>
        <v>1.5611331653696815E-4</v>
      </c>
      <c r="Q15" s="60">
        <f t="shared" si="4"/>
        <v>0.69529652351738236</v>
      </c>
      <c r="R15" s="63">
        <f t="shared" si="5"/>
        <v>0.4194630872483221</v>
      </c>
      <c r="S15" s="28">
        <f t="shared" si="6"/>
        <v>0.60328661666008676</v>
      </c>
      <c r="T15" s="12">
        <f t="shared" si="7"/>
        <v>0.25899795501022499</v>
      </c>
      <c r="U15" s="12">
        <f t="shared" si="64"/>
        <v>0.73278559416519928</v>
      </c>
      <c r="V15" s="55">
        <f t="shared" si="8"/>
        <v>0.8489712203603953</v>
      </c>
      <c r="W15" s="54">
        <f t="shared" si="65"/>
        <v>0.50689562125781218</v>
      </c>
      <c r="X15" s="55">
        <f t="shared" si="66"/>
        <v>0.28459425378325875</v>
      </c>
      <c r="Y15" s="54">
        <f t="shared" si="9"/>
        <v>0.91220159760688824</v>
      </c>
      <c r="Z15" s="55">
        <f t="shared" si="67"/>
        <v>0.76296248575965997</v>
      </c>
      <c r="AA15" s="54">
        <f t="shared" si="10"/>
        <v>0</v>
      </c>
      <c r="AB15" s="55">
        <f t="shared" si="68"/>
        <v>0</v>
      </c>
      <c r="AC15" s="54">
        <f t="shared" si="11"/>
        <v>0</v>
      </c>
      <c r="AD15" s="55">
        <f t="shared" si="69"/>
        <v>0</v>
      </c>
      <c r="AE15" s="54">
        <f t="shared" si="12"/>
        <v>0</v>
      </c>
      <c r="AF15" s="55">
        <f t="shared" si="70"/>
        <v>0</v>
      </c>
      <c r="AG15" s="54">
        <f t="shared" si="13"/>
        <v>0</v>
      </c>
      <c r="AH15" s="55">
        <f t="shared" si="71"/>
        <v>0</v>
      </c>
      <c r="AI15" s="54">
        <f t="shared" si="72"/>
        <v>0</v>
      </c>
      <c r="AJ15" s="177">
        <f t="shared" si="73"/>
        <v>0</v>
      </c>
      <c r="AK15" s="54">
        <f t="shared" si="14"/>
        <v>0</v>
      </c>
      <c r="AL15" s="55">
        <f t="shared" si="15"/>
        <v>0</v>
      </c>
      <c r="AM15" s="179">
        <f t="shared" si="16"/>
        <v>4.4819027473108369E-2</v>
      </c>
      <c r="AN15" s="52">
        <f t="shared" si="17"/>
        <v>0</v>
      </c>
      <c r="AO15" s="74">
        <f t="shared" si="74"/>
        <v>0</v>
      </c>
      <c r="AP15" s="78">
        <v>0</v>
      </c>
      <c r="AQ15" s="87">
        <f t="shared" si="18"/>
        <v>0</v>
      </c>
      <c r="AR15" s="46">
        <f t="shared" si="19"/>
        <v>57.172690722191398</v>
      </c>
      <c r="AS15" s="69">
        <f t="shared" si="20"/>
        <v>4.2879518041643548E-2</v>
      </c>
      <c r="AT15" s="42">
        <f t="shared" si="21"/>
        <v>63.705377769537982</v>
      </c>
      <c r="AU15" s="79">
        <f t="shared" si="22"/>
        <v>4.7779033327153483E-2</v>
      </c>
      <c r="AV15" s="83">
        <f t="shared" si="75"/>
        <v>1.8925117734201403E-2</v>
      </c>
      <c r="AW15" s="84">
        <f t="shared" si="76"/>
        <v>8.7117087201081661E-3</v>
      </c>
      <c r="AX15" s="42">
        <f t="shared" si="23"/>
        <v>2.639489953632148E-2</v>
      </c>
      <c r="AY15" s="43">
        <f t="shared" si="77"/>
        <v>6.1459125134398392E-2</v>
      </c>
      <c r="AZ15" s="85">
        <f t="shared" si="24"/>
        <v>0</v>
      </c>
      <c r="BA15" s="86">
        <f t="shared" si="78"/>
        <v>0</v>
      </c>
      <c r="BB15" s="85">
        <f t="shared" si="25"/>
        <v>0</v>
      </c>
      <c r="BC15" s="86">
        <f t="shared" si="79"/>
        <v>0</v>
      </c>
      <c r="BD15" s="85">
        <f t="shared" si="26"/>
        <v>0</v>
      </c>
      <c r="BE15" s="86">
        <f t="shared" si="80"/>
        <v>0</v>
      </c>
      <c r="BF15" s="85">
        <f t="shared" si="27"/>
        <v>0</v>
      </c>
      <c r="BG15" s="86">
        <f t="shared" si="81"/>
        <v>0</v>
      </c>
      <c r="BH15" s="85">
        <f t="shared" si="28"/>
        <v>0</v>
      </c>
      <c r="BI15" s="86">
        <f t="shared" si="82"/>
        <v>0</v>
      </c>
      <c r="BJ15" s="85">
        <f t="shared" si="29"/>
        <v>0</v>
      </c>
      <c r="BK15" s="207">
        <f t="shared" si="30"/>
        <v>0</v>
      </c>
      <c r="BL15" s="85">
        <f t="shared" si="83"/>
        <v>0.11549085112502944</v>
      </c>
      <c r="BM15" s="176">
        <f t="shared" si="84"/>
        <v>0.11549085112502944</v>
      </c>
      <c r="BN15" s="176">
        <f t="shared" si="85"/>
        <v>0.11549085112502944</v>
      </c>
      <c r="BO15" s="176">
        <f t="shared" si="86"/>
        <v>0.15837036916667299</v>
      </c>
      <c r="BP15" s="86">
        <f t="shared" si="87"/>
        <v>0.16326988445218293</v>
      </c>
      <c r="BQ15" s="211">
        <f t="shared" si="88"/>
        <v>1.2316449709472545E-2</v>
      </c>
      <c r="BR15" s="237">
        <f t="shared" si="31"/>
        <v>2.5000000000000001E-3</v>
      </c>
      <c r="BS15" s="237">
        <f t="shared" si="32"/>
        <v>0</v>
      </c>
      <c r="BT15" s="237">
        <f t="shared" si="33"/>
        <v>0</v>
      </c>
      <c r="BU15" s="237">
        <f t="shared" si="34"/>
        <v>0</v>
      </c>
      <c r="BV15" s="237">
        <f t="shared" si="35"/>
        <v>0</v>
      </c>
      <c r="BW15" s="237">
        <f t="shared" si="36"/>
        <v>0</v>
      </c>
      <c r="BX15" s="212">
        <f t="shared" si="37"/>
        <v>0</v>
      </c>
      <c r="BY15" s="238">
        <f t="shared" si="89"/>
        <v>1.4816449709472546E-2</v>
      </c>
      <c r="BZ15" s="244">
        <f t="shared" si="90"/>
        <v>6.6860726994279521E-4</v>
      </c>
      <c r="CA15" s="243">
        <f t="shared" si="38"/>
        <v>4.8540441176470599E-2</v>
      </c>
      <c r="CB15" s="243">
        <f t="shared" si="39"/>
        <v>0.1008</v>
      </c>
      <c r="CC15" s="238">
        <f t="shared" si="91"/>
        <v>0.15000904844641338</v>
      </c>
      <c r="CD15" s="244">
        <f t="shared" si="40"/>
        <v>0.15</v>
      </c>
      <c r="CE15" s="243">
        <f t="shared" si="41"/>
        <v>0.09</v>
      </c>
      <c r="CF15" s="243">
        <f t="shared" si="42"/>
        <v>0</v>
      </c>
      <c r="CG15" s="243">
        <f t="shared" si="43"/>
        <v>0</v>
      </c>
      <c r="CH15" s="243">
        <f t="shared" si="44"/>
        <v>0</v>
      </c>
      <c r="CI15" s="243">
        <f t="shared" si="45"/>
        <v>0</v>
      </c>
      <c r="CJ15" s="243">
        <f t="shared" si="46"/>
        <v>0</v>
      </c>
      <c r="CK15" s="243">
        <f t="shared" si="47"/>
        <v>0</v>
      </c>
      <c r="CL15" s="243">
        <f t="shared" si="48"/>
        <v>0</v>
      </c>
      <c r="CM15" s="243">
        <f t="shared" si="49"/>
        <v>0</v>
      </c>
      <c r="CN15" s="243">
        <f t="shared" si="50"/>
        <v>0</v>
      </c>
      <c r="CO15" s="243">
        <f t="shared" si="51"/>
        <v>0</v>
      </c>
      <c r="CP15" s="243">
        <f t="shared" si="52"/>
        <v>0</v>
      </c>
      <c r="CQ15" s="243">
        <f t="shared" si="53"/>
        <v>0</v>
      </c>
      <c r="CR15" s="238">
        <f t="shared" si="54"/>
        <v>0.24</v>
      </c>
      <c r="CS15" s="246">
        <f t="shared" si="55"/>
        <v>4.5571737036598267E-2</v>
      </c>
      <c r="CT15" s="188">
        <f t="shared" si="92"/>
        <v>0.4503972351924842</v>
      </c>
      <c r="CU15" s="206">
        <f t="shared" si="56"/>
        <v>7.9503972351924839</v>
      </c>
      <c r="CV15" s="227">
        <f t="shared" si="57"/>
        <v>0.94334909038270465</v>
      </c>
      <c r="CW15">
        <f t="shared" si="58"/>
        <v>57.88</v>
      </c>
      <c r="CX15">
        <f t="shared" si="59"/>
        <v>81.052715141218215</v>
      </c>
      <c r="DA15" s="22">
        <v>30</v>
      </c>
      <c r="DB15" s="22">
        <f t="shared" si="93"/>
        <v>188.49555921538757</v>
      </c>
      <c r="DC15" s="253">
        <f t="shared" si="94"/>
        <v>24.17365642982428</v>
      </c>
      <c r="DD15" s="93">
        <f t="shared" ref="DD15:DD59" si="112">IMARGUMENT(IMDIV(IMPRODUCT(COMPLEX(1,-DB15/$B$120),COMPLEX(1,DB15/$B$119)),IMPRODUCT(COMPLEX(1,DB15/$B$113),COMPLEX(1,DB15/$B$116))))*(180/PI())</f>
        <v>-45.369564323498416</v>
      </c>
      <c r="DE15" s="253">
        <f t="shared" ref="DE15:DE59" si="113">20*LOG($B$124*IMABS(IMDIV(IMPRODUCT(COMPLEX(1,-DB15/$B$121),COMPLEX(1,DB15/$B$119)),IMPRODUCT(COMPLEX(1,DB15/$B$113),COMPLEX(1,DB15/$B$117)))))</f>
        <v>34.591421823279902</v>
      </c>
      <c r="DF15" s="93">
        <f t="shared" ref="DF15:DF59" si="114">IMARGUMENT(IMDIV(IMPRODUCT(COMPLEX(1,-DB15/$B$121),COMPLEX(1,DB15/$B$119)),IMPRODUCT(COMPLEX(1,DB15/$B$113),COMPLEX(1,DB15/$B$117))))*(180/PI())</f>
        <v>-44.954456207705739</v>
      </c>
      <c r="DG15" s="251">
        <f t="shared" ref="DG15:DG59" si="115">20*LOG($B$125*IMABS(IMDIV(IMPRODUCT(COMPLEX(1,-DB15/$B$122),COMPLEX(1,DB15/$B$119)),IMPRODUCT(COMPLEX(1,DB15/$B$115),COMPLEX(1,DB15/$B$118)))))</f>
        <v>38.582880367381001</v>
      </c>
      <c r="DH15" s="93">
        <f t="shared" ref="DH15:DH59" si="116">IMARGUMENT(IMDIV(IMPRODUCT(COMPLEX(1,-DB15/$B$122),COMPLEX(1,DB15/$B$119)),IMPRODUCT(COMPLEX(1,DB15/$B$115),COMPLEX(1,DB15/$B$118))))*(180/PI())</f>
        <v>-53.02127688206091</v>
      </c>
      <c r="DI15" s="91">
        <f t="shared" si="100"/>
        <v>20.063003516056988</v>
      </c>
      <c r="DJ15" s="251">
        <f t="shared" si="101"/>
        <v>113.13114513164369</v>
      </c>
      <c r="DK15" s="92">
        <f t="shared" si="60"/>
        <v>20.30666481552803</v>
      </c>
      <c r="DL15" s="93">
        <f t="shared" si="61"/>
        <v>112.45721154703612</v>
      </c>
      <c r="DM15" s="253">
        <f t="shared" si="102"/>
        <v>44.236659945881271</v>
      </c>
      <c r="DN15" s="262">
        <f t="shared" si="62"/>
        <v>67.761580808145212</v>
      </c>
      <c r="DO15" s="253">
        <f t="shared" si="103"/>
        <v>54.654425339336889</v>
      </c>
      <c r="DP15" s="259">
        <f t="shared" si="104"/>
        <v>68.176688923937945</v>
      </c>
      <c r="DQ15" s="251">
        <f t="shared" si="105"/>
        <v>58.645883883437989</v>
      </c>
      <c r="DR15" s="259">
        <f t="shared" si="106"/>
        <v>60.109868249582782</v>
      </c>
      <c r="DS15" s="253">
        <f t="shared" si="107"/>
        <v>44.480321245352314</v>
      </c>
      <c r="DT15" s="261">
        <f t="shared" si="63"/>
        <v>67.087647223537815</v>
      </c>
      <c r="DU15" s="253">
        <f t="shared" si="108"/>
        <v>54.898086638807932</v>
      </c>
      <c r="DV15" s="93">
        <f t="shared" si="109"/>
        <v>67.502755339330378</v>
      </c>
      <c r="DW15" s="251">
        <f t="shared" si="110"/>
        <v>58.889545182909032</v>
      </c>
      <c r="DX15" s="93">
        <f t="shared" si="111"/>
        <v>59.435934664975214</v>
      </c>
    </row>
    <row r="16" spans="1:128" ht="15.75" thickBot="1" x14ac:dyDescent="0.3">
      <c r="A16" s="12" t="s">
        <v>304</v>
      </c>
      <c r="B16" s="21">
        <f>IF(AND(Vout4&lt;&gt;0,n1_Flyback&lt;&gt;0,IoutPri_FBB=0),((ABS(Vout4)+Vdiode4)*(n1_Flyback/Np))/(ABS(Vout1)+Vdiode1),0)</f>
        <v>0</v>
      </c>
      <c r="C16" s="12"/>
      <c r="F16" t="s">
        <v>59</v>
      </c>
      <c r="G16" t="s">
        <v>47</v>
      </c>
      <c r="H16" t="s">
        <v>60</v>
      </c>
      <c r="L16" s="58">
        <v>12</v>
      </c>
      <c r="M16" s="62">
        <f t="shared" si="0"/>
        <v>18.96</v>
      </c>
      <c r="N16" s="42">
        <f t="shared" si="1"/>
        <v>2.0686679963943235E-4</v>
      </c>
      <c r="O16" s="19">
        <f t="shared" si="2"/>
        <v>1.8618011967548909E-4</v>
      </c>
      <c r="P16" s="43">
        <f t="shared" si="3"/>
        <v>1.6925465425044462E-4</v>
      </c>
      <c r="Q16" s="60">
        <f t="shared" si="4"/>
        <v>0.68273092369477917</v>
      </c>
      <c r="R16" s="63">
        <f t="shared" si="5"/>
        <v>0.39556962025316456</v>
      </c>
      <c r="S16" s="28">
        <f t="shared" si="6"/>
        <v>0.57939314966492927</v>
      </c>
      <c r="T16" s="12">
        <f t="shared" si="7"/>
        <v>0.26967871485943778</v>
      </c>
      <c r="U16" s="12">
        <f t="shared" si="64"/>
        <v>0.71423250709464814</v>
      </c>
      <c r="V16" s="55">
        <f t="shared" si="8"/>
        <v>0.81868473161288291</v>
      </c>
      <c r="W16" s="54">
        <f t="shared" si="65"/>
        <v>0.48304042648210199</v>
      </c>
      <c r="X16" s="55">
        <f t="shared" si="66"/>
        <v>0.27722324785049712</v>
      </c>
      <c r="Y16" s="54">
        <f t="shared" si="9"/>
        <v>0.89505148034874893</v>
      </c>
      <c r="Z16" s="55">
        <f t="shared" si="67"/>
        <v>0.74237265067787006</v>
      </c>
      <c r="AA16" s="54">
        <f t="shared" si="10"/>
        <v>0</v>
      </c>
      <c r="AB16" s="55">
        <f t="shared" si="68"/>
        <v>0</v>
      </c>
      <c r="AC16" s="54">
        <f t="shared" si="11"/>
        <v>0</v>
      </c>
      <c r="AD16" s="55">
        <f t="shared" si="69"/>
        <v>0</v>
      </c>
      <c r="AE16" s="54">
        <f t="shared" si="12"/>
        <v>0</v>
      </c>
      <c r="AF16" s="55">
        <f t="shared" si="70"/>
        <v>0</v>
      </c>
      <c r="AG16" s="54">
        <f t="shared" si="13"/>
        <v>0</v>
      </c>
      <c r="AH16" s="55">
        <f t="shared" si="71"/>
        <v>0</v>
      </c>
      <c r="AI16" s="54">
        <f t="shared" si="72"/>
        <v>0</v>
      </c>
      <c r="AJ16" s="177">
        <f t="shared" si="73"/>
        <v>0</v>
      </c>
      <c r="AK16" s="54">
        <f t="shared" si="14"/>
        <v>0</v>
      </c>
      <c r="AL16" s="55">
        <f t="shared" si="15"/>
        <v>0</v>
      </c>
      <c r="AM16" s="179">
        <f t="shared" si="16"/>
        <v>4.6667309514936237E-2</v>
      </c>
      <c r="AN16" s="52">
        <f t="shared" si="17"/>
        <v>0</v>
      </c>
      <c r="AO16" s="74">
        <f t="shared" si="74"/>
        <v>0</v>
      </c>
      <c r="AP16" s="78">
        <v>0</v>
      </c>
      <c r="AQ16" s="87">
        <f t="shared" si="18"/>
        <v>0</v>
      </c>
      <c r="AR16" s="46">
        <f t="shared" si="19"/>
        <v>63.660863155948611</v>
      </c>
      <c r="AS16" s="69">
        <f t="shared" si="20"/>
        <v>4.7745647366961456E-2</v>
      </c>
      <c r="AT16" s="42">
        <f t="shared" si="21"/>
        <v>70.363902680301095</v>
      </c>
      <c r="AU16" s="79">
        <f t="shared" si="22"/>
        <v>5.2772927010225824E-2</v>
      </c>
      <c r="AV16" s="83">
        <f t="shared" si="75"/>
        <v>1.6830497469035626E-2</v>
      </c>
      <c r="AW16" s="84">
        <f t="shared" si="76"/>
        <v>8.2662852295146017E-3</v>
      </c>
      <c r="AX16" s="42">
        <f t="shared" si="23"/>
        <v>2.639489953632148E-2</v>
      </c>
      <c r="AY16" s="43">
        <f t="shared" si="77"/>
        <v>5.8186727489230594E-2</v>
      </c>
      <c r="AZ16" s="85">
        <f t="shared" si="24"/>
        <v>0</v>
      </c>
      <c r="BA16" s="86">
        <f t="shared" si="78"/>
        <v>0</v>
      </c>
      <c r="BB16" s="85">
        <f t="shared" si="25"/>
        <v>0</v>
      </c>
      <c r="BC16" s="86">
        <f t="shared" si="79"/>
        <v>0</v>
      </c>
      <c r="BD16" s="85">
        <f t="shared" si="26"/>
        <v>0</v>
      </c>
      <c r="BE16" s="86">
        <f t="shared" si="80"/>
        <v>0</v>
      </c>
      <c r="BF16" s="85">
        <f t="shared" si="27"/>
        <v>0</v>
      </c>
      <c r="BG16" s="86">
        <f t="shared" si="81"/>
        <v>0</v>
      </c>
      <c r="BH16" s="85">
        <f t="shared" si="28"/>
        <v>0</v>
      </c>
      <c r="BI16" s="86">
        <f t="shared" si="82"/>
        <v>0</v>
      </c>
      <c r="BJ16" s="85">
        <f t="shared" si="29"/>
        <v>0</v>
      </c>
      <c r="BK16" s="207">
        <f t="shared" si="30"/>
        <v>0</v>
      </c>
      <c r="BL16" s="85">
        <f t="shared" si="83"/>
        <v>0.10967840972410231</v>
      </c>
      <c r="BM16" s="176">
        <f t="shared" si="84"/>
        <v>0.10967840972410231</v>
      </c>
      <c r="BN16" s="176">
        <f t="shared" si="85"/>
        <v>0.10967840972410231</v>
      </c>
      <c r="BO16" s="176">
        <f t="shared" si="86"/>
        <v>0.15742405709106377</v>
      </c>
      <c r="BP16" s="86">
        <f t="shared" si="87"/>
        <v>0.16245133673432813</v>
      </c>
      <c r="BQ16" s="211">
        <f t="shared" si="88"/>
        <v>1.0953272712706297E-2</v>
      </c>
      <c r="BR16" s="237">
        <f t="shared" si="31"/>
        <v>2.5000000000000001E-3</v>
      </c>
      <c r="BS16" s="237">
        <f t="shared" si="32"/>
        <v>0</v>
      </c>
      <c r="BT16" s="237">
        <f t="shared" si="33"/>
        <v>0</v>
      </c>
      <c r="BU16" s="237">
        <f t="shared" si="34"/>
        <v>0</v>
      </c>
      <c r="BV16" s="237">
        <f t="shared" si="35"/>
        <v>0</v>
      </c>
      <c r="BW16" s="237">
        <f t="shared" si="36"/>
        <v>0</v>
      </c>
      <c r="BX16" s="212">
        <f t="shared" si="37"/>
        <v>0</v>
      </c>
      <c r="BY16" s="238">
        <f t="shared" si="89"/>
        <v>1.3453272712706297E-2</v>
      </c>
      <c r="BZ16" s="244">
        <f t="shared" si="90"/>
        <v>5.9460623297548463E-4</v>
      </c>
      <c r="CA16" s="243">
        <f t="shared" si="38"/>
        <v>4.943382352941178E-2</v>
      </c>
      <c r="CB16" s="243">
        <f t="shared" si="39"/>
        <v>0.1008</v>
      </c>
      <c r="CC16" s="238">
        <f t="shared" si="91"/>
        <v>0.15082842976238725</v>
      </c>
      <c r="CD16" s="244">
        <f t="shared" si="40"/>
        <v>0.15</v>
      </c>
      <c r="CE16" s="243">
        <f t="shared" si="41"/>
        <v>0.09</v>
      </c>
      <c r="CF16" s="243">
        <f t="shared" si="42"/>
        <v>0</v>
      </c>
      <c r="CG16" s="243">
        <f t="shared" si="43"/>
        <v>0</v>
      </c>
      <c r="CH16" s="243">
        <f t="shared" si="44"/>
        <v>0</v>
      </c>
      <c r="CI16" s="243">
        <f t="shared" si="45"/>
        <v>0</v>
      </c>
      <c r="CJ16" s="243">
        <f t="shared" si="46"/>
        <v>0</v>
      </c>
      <c r="CK16" s="243">
        <f t="shared" si="47"/>
        <v>0</v>
      </c>
      <c r="CL16" s="243">
        <f t="shared" si="48"/>
        <v>0</v>
      </c>
      <c r="CM16" s="243">
        <f t="shared" si="49"/>
        <v>0</v>
      </c>
      <c r="CN16" s="243">
        <f t="shared" si="50"/>
        <v>0</v>
      </c>
      <c r="CO16" s="243">
        <f t="shared" si="51"/>
        <v>0</v>
      </c>
      <c r="CP16" s="243">
        <f t="shared" si="52"/>
        <v>0</v>
      </c>
      <c r="CQ16" s="243">
        <f t="shared" si="53"/>
        <v>0</v>
      </c>
      <c r="CR16" s="238">
        <f t="shared" si="54"/>
        <v>0.24</v>
      </c>
      <c r="CS16" s="246">
        <f t="shared" si="55"/>
        <v>4.289917108967542E-2</v>
      </c>
      <c r="CT16" s="188">
        <f t="shared" si="92"/>
        <v>0.44718087356476899</v>
      </c>
      <c r="CU16" s="206">
        <f t="shared" si="56"/>
        <v>7.9471808735647693</v>
      </c>
      <c r="CV16" s="227">
        <f t="shared" si="57"/>
        <v>0.9437308800845019</v>
      </c>
      <c r="CW16">
        <f t="shared" si="58"/>
        <v>58.96</v>
      </c>
      <c r="CX16">
        <f t="shared" si="59"/>
        <v>81.546015013514591</v>
      </c>
      <c r="DA16" s="22">
        <v>40</v>
      </c>
      <c r="DB16" s="22">
        <f t="shared" si="93"/>
        <v>251.32741228718345</v>
      </c>
      <c r="DC16" s="253">
        <f t="shared" si="94"/>
        <v>22.75087054052662</v>
      </c>
      <c r="DD16" s="93">
        <f t="shared" si="112"/>
        <v>-53.655365475850502</v>
      </c>
      <c r="DE16" s="253">
        <f t="shared" si="113"/>
        <v>33.168450682623224</v>
      </c>
      <c r="DF16" s="93">
        <f t="shared" si="114"/>
        <v>-53.101896366739751</v>
      </c>
      <c r="DG16" s="251">
        <f t="shared" si="115"/>
        <v>36.832254723422878</v>
      </c>
      <c r="DH16" s="93">
        <f t="shared" si="116"/>
        <v>-60.54217114432479</v>
      </c>
      <c r="DI16" s="91">
        <f t="shared" si="100"/>
        <v>18.058963672689682</v>
      </c>
      <c r="DJ16" s="251">
        <f t="shared" si="101"/>
        <v>119.65538559623594</v>
      </c>
      <c r="DK16" s="92">
        <f t="shared" si="60"/>
        <v>18.277231543202358</v>
      </c>
      <c r="DL16" s="93">
        <f t="shared" si="61"/>
        <v>118.85096900750278</v>
      </c>
      <c r="DM16" s="253">
        <f t="shared" si="102"/>
        <v>40.809834213216305</v>
      </c>
      <c r="DN16" s="262">
        <f t="shared" si="62"/>
        <v>66.000020120385415</v>
      </c>
      <c r="DO16" s="253">
        <f t="shared" si="103"/>
        <v>51.227414355312902</v>
      </c>
      <c r="DP16" s="259">
        <f t="shared" si="104"/>
        <v>66.553489229496194</v>
      </c>
      <c r="DQ16" s="251">
        <f t="shared" si="105"/>
        <v>54.891218396112563</v>
      </c>
      <c r="DR16" s="259">
        <f t="shared" si="106"/>
        <v>59.113214451911155</v>
      </c>
      <c r="DS16" s="253">
        <f t="shared" si="107"/>
        <v>41.028102083728982</v>
      </c>
      <c r="DT16" s="261">
        <f t="shared" si="63"/>
        <v>65.195603531652253</v>
      </c>
      <c r="DU16" s="253">
        <f t="shared" si="108"/>
        <v>51.445682225825578</v>
      </c>
      <c r="DV16" s="93">
        <f t="shared" si="109"/>
        <v>65.749072640763032</v>
      </c>
      <c r="DW16" s="251">
        <f t="shared" si="110"/>
        <v>55.10948626662524</v>
      </c>
      <c r="DX16" s="93">
        <f t="shared" si="111"/>
        <v>58.308797863177993</v>
      </c>
    </row>
    <row r="17" spans="1:128" ht="15.75" thickBot="1" x14ac:dyDescent="0.3">
      <c r="A17" s="12" t="s">
        <v>305</v>
      </c>
      <c r="B17" s="12">
        <f>IF(n4_Flyback_Calc&lt;&gt;0,n4_Flyback/Np,0)</f>
        <v>0</v>
      </c>
      <c r="C17" s="12"/>
      <c r="E17" t="s">
        <v>53</v>
      </c>
      <c r="F17">
        <f>IF(AND(Vout1&lt;&gt;0),(Np*(ABS(Vout1)+Vdiode1))/((Ns1_Flyback*VinMin)+(Np*(ABS(Vout1)+Vdiode1))),0)</f>
        <v>0.87179487179487181</v>
      </c>
      <c r="G17">
        <f>(Pout_Flyback*eff)/(F17*VinMin)</f>
        <v>1.4338235294117647</v>
      </c>
      <c r="H17" s="2">
        <f>(VinMin*F17)/(G17*RR*Fsw)</f>
        <v>3.0401051939513477E-5</v>
      </c>
      <c r="L17" s="58">
        <v>13</v>
      </c>
      <c r="M17" s="62">
        <f t="shared" si="0"/>
        <v>20.04</v>
      </c>
      <c r="N17" s="42">
        <f t="shared" si="1"/>
        <v>2.2297302762421862E-4</v>
      </c>
      <c r="O17" s="19">
        <f t="shared" si="2"/>
        <v>2.0067572486179674E-4</v>
      </c>
      <c r="P17" s="43">
        <f t="shared" si="3"/>
        <v>1.824324771470879E-4</v>
      </c>
      <c r="Q17" s="60">
        <f t="shared" si="4"/>
        <v>0.67061143984220906</v>
      </c>
      <c r="R17" s="63">
        <f t="shared" si="5"/>
        <v>0.37425149700598803</v>
      </c>
      <c r="S17" s="28">
        <f t="shared" si="6"/>
        <v>0.55807502641775275</v>
      </c>
      <c r="T17" s="12">
        <f t="shared" si="7"/>
        <v>0.2799802761341223</v>
      </c>
      <c r="U17" s="12">
        <f t="shared" si="64"/>
        <v>0.69806516448481393</v>
      </c>
      <c r="V17" s="55">
        <f t="shared" si="8"/>
        <v>0.7916288325416565</v>
      </c>
      <c r="W17" s="54">
        <f t="shared" si="65"/>
        <v>0.46178038601865612</v>
      </c>
      <c r="X17" s="55">
        <f t="shared" si="66"/>
        <v>0.27051236921870314</v>
      </c>
      <c r="Y17" s="54">
        <f t="shared" si="9"/>
        <v>0.87959585739466772</v>
      </c>
      <c r="Z17" s="55">
        <f t="shared" si="67"/>
        <v>0.72366350767871435</v>
      </c>
      <c r="AA17" s="54">
        <f t="shared" si="10"/>
        <v>0</v>
      </c>
      <c r="AB17" s="55">
        <f t="shared" si="68"/>
        <v>0</v>
      </c>
      <c r="AC17" s="54">
        <f t="shared" si="11"/>
        <v>0</v>
      </c>
      <c r="AD17" s="55">
        <f t="shared" si="69"/>
        <v>0</v>
      </c>
      <c r="AE17" s="54">
        <f t="shared" si="12"/>
        <v>0</v>
      </c>
      <c r="AF17" s="55">
        <f t="shared" si="70"/>
        <v>0</v>
      </c>
      <c r="AG17" s="54">
        <f t="shared" si="13"/>
        <v>0</v>
      </c>
      <c r="AH17" s="55">
        <f t="shared" si="71"/>
        <v>0</v>
      </c>
      <c r="AI17" s="54">
        <f t="shared" si="72"/>
        <v>0</v>
      </c>
      <c r="AJ17" s="177">
        <f t="shared" si="73"/>
        <v>0</v>
      </c>
      <c r="AK17" s="54">
        <f t="shared" si="14"/>
        <v>0</v>
      </c>
      <c r="AL17" s="55">
        <f t="shared" si="15"/>
        <v>0</v>
      </c>
      <c r="AM17" s="179">
        <f t="shared" si="16"/>
        <v>4.8449972075989146E-2</v>
      </c>
      <c r="AN17" s="52">
        <f t="shared" si="17"/>
        <v>0</v>
      </c>
      <c r="AO17" s="74">
        <f t="shared" si="74"/>
        <v>0</v>
      </c>
      <c r="AP17" s="78">
        <v>0</v>
      </c>
      <c r="AQ17" s="87">
        <f t="shared" si="18"/>
        <v>0</v>
      </c>
      <c r="AR17" s="46">
        <f t="shared" si="19"/>
        <v>70.33627503777501</v>
      </c>
      <c r="AS17" s="69">
        <f t="shared" si="20"/>
        <v>5.2752206278331257E-2</v>
      </c>
      <c r="AT17" s="42">
        <f t="shared" si="21"/>
        <v>77.16149040254372</v>
      </c>
      <c r="AU17" s="79">
        <f t="shared" si="22"/>
        <v>5.7871117801907783E-2</v>
      </c>
      <c r="AV17" s="83">
        <f t="shared" si="75"/>
        <v>1.5065313880634135E-2</v>
      </c>
      <c r="AW17" s="84">
        <f t="shared" si="76"/>
        <v>7.8709172812927632E-3</v>
      </c>
      <c r="AX17" s="42">
        <f t="shared" si="23"/>
        <v>2.639489953632148E-2</v>
      </c>
      <c r="AY17" s="43">
        <f t="shared" si="77"/>
        <v>5.5290860695433909E-2</v>
      </c>
      <c r="AZ17" s="85">
        <f t="shared" si="24"/>
        <v>0</v>
      </c>
      <c r="BA17" s="86">
        <f t="shared" si="78"/>
        <v>0</v>
      </c>
      <c r="BB17" s="85">
        <f t="shared" si="25"/>
        <v>0</v>
      </c>
      <c r="BC17" s="86">
        <f t="shared" si="79"/>
        <v>0</v>
      </c>
      <c r="BD17" s="85">
        <f t="shared" si="26"/>
        <v>0</v>
      </c>
      <c r="BE17" s="86">
        <f t="shared" si="80"/>
        <v>0</v>
      </c>
      <c r="BF17" s="85">
        <f t="shared" si="27"/>
        <v>0</v>
      </c>
      <c r="BG17" s="86">
        <f t="shared" si="81"/>
        <v>0</v>
      </c>
      <c r="BH17" s="85">
        <f t="shared" si="28"/>
        <v>0</v>
      </c>
      <c r="BI17" s="86">
        <f t="shared" si="82"/>
        <v>0</v>
      </c>
      <c r="BJ17" s="85">
        <f t="shared" si="29"/>
        <v>0</v>
      </c>
      <c r="BK17" s="207">
        <f t="shared" si="30"/>
        <v>0</v>
      </c>
      <c r="BL17" s="85">
        <f t="shared" si="83"/>
        <v>0.10462199139368228</v>
      </c>
      <c r="BM17" s="176">
        <f t="shared" si="84"/>
        <v>0.10462199139368228</v>
      </c>
      <c r="BN17" s="176">
        <f t="shared" si="85"/>
        <v>0.10462199139368228</v>
      </c>
      <c r="BO17" s="176">
        <f t="shared" si="86"/>
        <v>0.15737419767201355</v>
      </c>
      <c r="BP17" s="86">
        <f t="shared" si="87"/>
        <v>0.16249310919559007</v>
      </c>
      <c r="BQ17" s="211">
        <f t="shared" si="88"/>
        <v>9.8044928107856155E-3</v>
      </c>
      <c r="BR17" s="237">
        <f t="shared" si="31"/>
        <v>2.5000000000000001E-3</v>
      </c>
      <c r="BS17" s="237">
        <f t="shared" si="32"/>
        <v>0</v>
      </c>
      <c r="BT17" s="237">
        <f t="shared" si="33"/>
        <v>0</v>
      </c>
      <c r="BU17" s="237">
        <f t="shared" si="34"/>
        <v>0</v>
      </c>
      <c r="BV17" s="237">
        <f t="shared" si="35"/>
        <v>0</v>
      </c>
      <c r="BW17" s="237">
        <f t="shared" si="36"/>
        <v>0</v>
      </c>
      <c r="BX17" s="212">
        <f t="shared" si="37"/>
        <v>0</v>
      </c>
      <c r="BY17" s="238">
        <f t="shared" si="89"/>
        <v>1.2304492810785616E-2</v>
      </c>
      <c r="BZ17" s="244">
        <f t="shared" si="90"/>
        <v>5.3224389544264761E-4</v>
      </c>
      <c r="CA17" s="243">
        <f t="shared" si="38"/>
        <v>5.0327205882352948E-2</v>
      </c>
      <c r="CB17" s="243">
        <f t="shared" si="39"/>
        <v>0.1008</v>
      </c>
      <c r="CC17" s="238">
        <f t="shared" si="91"/>
        <v>0.15165944977779561</v>
      </c>
      <c r="CD17" s="244">
        <f t="shared" si="40"/>
        <v>0.15</v>
      </c>
      <c r="CE17" s="243">
        <f t="shared" si="41"/>
        <v>0.09</v>
      </c>
      <c r="CF17" s="243">
        <f t="shared" si="42"/>
        <v>0</v>
      </c>
      <c r="CG17" s="243">
        <f t="shared" si="43"/>
        <v>0</v>
      </c>
      <c r="CH17" s="243">
        <f t="shared" si="44"/>
        <v>0</v>
      </c>
      <c r="CI17" s="243">
        <f t="shared" si="45"/>
        <v>0</v>
      </c>
      <c r="CJ17" s="243">
        <f t="shared" si="46"/>
        <v>0</v>
      </c>
      <c r="CK17" s="243">
        <f t="shared" si="47"/>
        <v>0</v>
      </c>
      <c r="CL17" s="243">
        <f t="shared" si="48"/>
        <v>0</v>
      </c>
      <c r="CM17" s="243">
        <f t="shared" si="49"/>
        <v>0</v>
      </c>
      <c r="CN17" s="243">
        <f t="shared" si="50"/>
        <v>0</v>
      </c>
      <c r="CO17" s="243">
        <f t="shared" si="51"/>
        <v>0</v>
      </c>
      <c r="CP17" s="243">
        <f t="shared" si="52"/>
        <v>0</v>
      </c>
      <c r="CQ17" s="243">
        <f t="shared" si="53"/>
        <v>0</v>
      </c>
      <c r="CR17" s="238">
        <f t="shared" si="54"/>
        <v>0.24</v>
      </c>
      <c r="CS17" s="246">
        <f t="shared" si="55"/>
        <v>4.0593469699431679E-2</v>
      </c>
      <c r="CT17" s="188">
        <f t="shared" si="92"/>
        <v>0.44455741228801288</v>
      </c>
      <c r="CU17" s="206">
        <f t="shared" si="56"/>
        <v>7.9445574122880132</v>
      </c>
      <c r="CV17" s="227">
        <f t="shared" si="57"/>
        <v>0.94404252002755917</v>
      </c>
      <c r="CW17">
        <f t="shared" si="58"/>
        <v>60.04</v>
      </c>
      <c r="CX17">
        <f t="shared" si="59"/>
        <v>82.114758749920924</v>
      </c>
      <c r="DA17" s="22">
        <v>50</v>
      </c>
      <c r="DB17" s="22">
        <f t="shared" si="93"/>
        <v>314.15926535897933</v>
      </c>
      <c r="DC17" s="253">
        <f t="shared" si="94"/>
        <v>21.418243120800948</v>
      </c>
      <c r="DD17" s="93">
        <f t="shared" si="112"/>
        <v>-59.720497261355192</v>
      </c>
      <c r="DE17" s="253">
        <f t="shared" si="113"/>
        <v>31.83558509476844</v>
      </c>
      <c r="DF17" s="93">
        <f t="shared" si="114"/>
        <v>-59.028674339789511</v>
      </c>
      <c r="DG17" s="251">
        <f t="shared" si="115"/>
        <v>35.289420110794239</v>
      </c>
      <c r="DH17" s="93">
        <f t="shared" si="116"/>
        <v>-65.681033779201798</v>
      </c>
      <c r="DI17" s="91">
        <f t="shared" si="100"/>
        <v>16.683826193638861</v>
      </c>
      <c r="DJ17" s="251">
        <f t="shared" si="101"/>
        <v>125.42635169920712</v>
      </c>
      <c r="DK17" s="92">
        <f t="shared" si="60"/>
        <v>16.876352032154095</v>
      </c>
      <c r="DL17" s="93">
        <f t="shared" si="61"/>
        <v>124.54014457282163</v>
      </c>
      <c r="DM17" s="253">
        <f t="shared" si="102"/>
        <v>38.102069314439809</v>
      </c>
      <c r="DN17" s="262">
        <f t="shared" si="62"/>
        <v>65.705854437851983</v>
      </c>
      <c r="DO17" s="253">
        <f t="shared" si="103"/>
        <v>48.519411288407298</v>
      </c>
      <c r="DP17" s="259">
        <f t="shared" si="104"/>
        <v>66.3976773594176</v>
      </c>
      <c r="DQ17" s="251">
        <f t="shared" si="105"/>
        <v>51.973246304433104</v>
      </c>
      <c r="DR17" s="259">
        <f t="shared" si="106"/>
        <v>59.74531792000532</v>
      </c>
      <c r="DS17" s="253">
        <f t="shared" si="107"/>
        <v>38.29459515295504</v>
      </c>
      <c r="DT17" s="261">
        <f t="shared" si="63"/>
        <v>64.819647311466539</v>
      </c>
      <c r="DU17" s="253">
        <f t="shared" si="108"/>
        <v>48.711937126922535</v>
      </c>
      <c r="DV17" s="93">
        <f t="shared" si="109"/>
        <v>65.511470233032128</v>
      </c>
      <c r="DW17" s="251">
        <f t="shared" si="110"/>
        <v>52.165772142948335</v>
      </c>
      <c r="DX17" s="93">
        <f t="shared" si="111"/>
        <v>58.859110793619834</v>
      </c>
    </row>
    <row r="18" spans="1:128" ht="15.75" thickBot="1" x14ac:dyDescent="0.3">
      <c r="A18" s="12" t="s">
        <v>306</v>
      </c>
      <c r="B18" s="21">
        <f>IF(AND(Vout5&lt;&gt;0,n1_Flyback&lt;&gt;0,IoutPri_FBB=0),((ABS(Vout5)+Vdiode5)*(n1_Flyback/Np))/(ABS(Vout1)+Vdiode1),0)</f>
        <v>0</v>
      </c>
      <c r="C18" s="12"/>
      <c r="E18" t="s">
        <v>54</v>
      </c>
      <c r="F18">
        <f>IF(AND(Vout1&lt;&gt;0),(Np*(ABS(Vout1)+Vdiode1))/((Ns1_Flyback*VinNom)+(Np*(ABS(Vout1)+Vdiode1))),0)</f>
        <v>0.62962962962962965</v>
      </c>
      <c r="G18">
        <f>(Pout_Flyback*eff)/(F18*VinNom)</f>
        <v>0.49632352941176472</v>
      </c>
      <c r="H18" s="2">
        <f>(VinNom*F18)/(G18*RR*Fsw)</f>
        <v>2.5371742112482851E-4</v>
      </c>
      <c r="L18" s="58">
        <v>14</v>
      </c>
      <c r="M18" s="62">
        <f t="shared" si="0"/>
        <v>21.12</v>
      </c>
      <c r="N18" s="42">
        <f t="shared" si="1"/>
        <v>2.3908990512055243E-4</v>
      </c>
      <c r="O18" s="19">
        <f t="shared" si="2"/>
        <v>2.1518091460849716E-4</v>
      </c>
      <c r="P18" s="43">
        <f t="shared" si="3"/>
        <v>1.9561901328045195E-4</v>
      </c>
      <c r="Q18" s="60">
        <f t="shared" si="4"/>
        <v>0.6589147286821706</v>
      </c>
      <c r="R18" s="63">
        <f t="shared" si="5"/>
        <v>0.35511363636363635</v>
      </c>
      <c r="S18" s="28">
        <f t="shared" si="6"/>
        <v>0.53893716577540096</v>
      </c>
      <c r="T18" s="12">
        <f t="shared" si="7"/>
        <v>0.28992248062015513</v>
      </c>
      <c r="U18" s="12">
        <f t="shared" si="64"/>
        <v>0.68389840608547847</v>
      </c>
      <c r="V18" s="55">
        <f t="shared" si="8"/>
        <v>0.76732271222219151</v>
      </c>
      <c r="W18" s="54">
        <f t="shared" si="65"/>
        <v>0.44271815220845928</v>
      </c>
      <c r="X18" s="55">
        <f t="shared" si="66"/>
        <v>0.26437410531946498</v>
      </c>
      <c r="Y18" s="54">
        <f t="shared" si="9"/>
        <v>0.86561216003661945</v>
      </c>
      <c r="Z18" s="55">
        <f t="shared" si="67"/>
        <v>0.7066006026060706</v>
      </c>
      <c r="AA18" s="54">
        <f t="shared" si="10"/>
        <v>0</v>
      </c>
      <c r="AB18" s="55">
        <f t="shared" si="68"/>
        <v>0</v>
      </c>
      <c r="AC18" s="54">
        <f t="shared" si="11"/>
        <v>0</v>
      </c>
      <c r="AD18" s="55">
        <f t="shared" si="69"/>
        <v>0</v>
      </c>
      <c r="AE18" s="54">
        <f t="shared" si="12"/>
        <v>0</v>
      </c>
      <c r="AF18" s="55">
        <f t="shared" si="70"/>
        <v>0</v>
      </c>
      <c r="AG18" s="54">
        <f t="shared" si="13"/>
        <v>0</v>
      </c>
      <c r="AH18" s="55">
        <f t="shared" si="71"/>
        <v>0</v>
      </c>
      <c r="AI18" s="54">
        <f t="shared" si="72"/>
        <v>0</v>
      </c>
      <c r="AJ18" s="177">
        <f t="shared" si="73"/>
        <v>0</v>
      </c>
      <c r="AK18" s="54">
        <f t="shared" si="14"/>
        <v>0</v>
      </c>
      <c r="AL18" s="55">
        <f t="shared" si="15"/>
        <v>0</v>
      </c>
      <c r="AM18" s="179">
        <f t="shared" si="16"/>
        <v>5.0170448733749526E-2</v>
      </c>
      <c r="AN18" s="52">
        <f t="shared" si="17"/>
        <v>0</v>
      </c>
      <c r="AO18" s="74">
        <f t="shared" si="74"/>
        <v>0</v>
      </c>
      <c r="AP18" s="78">
        <v>0</v>
      </c>
      <c r="AQ18" s="87">
        <f t="shared" si="18"/>
        <v>0</v>
      </c>
      <c r="AR18" s="46">
        <f t="shared" si="19"/>
        <v>77.177412363914385</v>
      </c>
      <c r="AS18" s="69">
        <f t="shared" si="20"/>
        <v>5.7883059272935786E-2</v>
      </c>
      <c r="AT18" s="42">
        <f t="shared" si="21"/>
        <v>84.07765016677709</v>
      </c>
      <c r="AU18" s="79">
        <f t="shared" si="22"/>
        <v>6.3058237625082822E-2</v>
      </c>
      <c r="AV18" s="83">
        <f t="shared" si="75"/>
        <v>1.3563937849206011E-2</v>
      </c>
      <c r="AW18" s="84">
        <f t="shared" si="76"/>
        <v>7.5177680508653902E-3</v>
      </c>
      <c r="AX18" s="42">
        <f t="shared" si="23"/>
        <v>2.639489953632148E-2</v>
      </c>
      <c r="AY18" s="43">
        <f t="shared" si="77"/>
        <v>5.2714247537277943E-2</v>
      </c>
      <c r="AZ18" s="85">
        <f t="shared" si="24"/>
        <v>0</v>
      </c>
      <c r="BA18" s="86">
        <f t="shared" si="78"/>
        <v>0</v>
      </c>
      <c r="BB18" s="85">
        <f t="shared" si="25"/>
        <v>0</v>
      </c>
      <c r="BC18" s="86">
        <f t="shared" si="79"/>
        <v>0</v>
      </c>
      <c r="BD18" s="85">
        <f t="shared" si="26"/>
        <v>0</v>
      </c>
      <c r="BE18" s="86">
        <f t="shared" si="80"/>
        <v>0</v>
      </c>
      <c r="BF18" s="85">
        <f t="shared" si="27"/>
        <v>0</v>
      </c>
      <c r="BG18" s="86">
        <f t="shared" si="81"/>
        <v>0</v>
      </c>
      <c r="BH18" s="85">
        <f t="shared" si="28"/>
        <v>0</v>
      </c>
      <c r="BI18" s="86">
        <f t="shared" si="82"/>
        <v>0</v>
      </c>
      <c r="BJ18" s="85">
        <f t="shared" si="29"/>
        <v>0</v>
      </c>
      <c r="BK18" s="207">
        <f t="shared" si="30"/>
        <v>0</v>
      </c>
      <c r="BL18" s="85">
        <f t="shared" si="83"/>
        <v>0.10019085297367084</v>
      </c>
      <c r="BM18" s="176">
        <f t="shared" si="84"/>
        <v>0.10019085297367084</v>
      </c>
      <c r="BN18" s="176">
        <f t="shared" si="85"/>
        <v>0.10019085297367084</v>
      </c>
      <c r="BO18" s="176">
        <f t="shared" si="86"/>
        <v>0.15807391224660661</v>
      </c>
      <c r="BP18" s="86">
        <f t="shared" si="87"/>
        <v>0.16324909059875364</v>
      </c>
      <c r="BQ18" s="211">
        <f t="shared" si="88"/>
        <v>8.8273986311983473E-3</v>
      </c>
      <c r="BR18" s="237">
        <f t="shared" si="31"/>
        <v>2.5000000000000001E-3</v>
      </c>
      <c r="BS18" s="237">
        <f t="shared" si="32"/>
        <v>0</v>
      </c>
      <c r="BT18" s="237">
        <f t="shared" si="33"/>
        <v>0</v>
      </c>
      <c r="BU18" s="237">
        <f t="shared" si="34"/>
        <v>0</v>
      </c>
      <c r="BV18" s="237">
        <f t="shared" si="35"/>
        <v>0</v>
      </c>
      <c r="BW18" s="237">
        <f t="shared" si="36"/>
        <v>0</v>
      </c>
      <c r="BX18" s="212">
        <f t="shared" si="37"/>
        <v>0</v>
      </c>
      <c r="BY18" s="238">
        <f t="shared" si="89"/>
        <v>1.1327398631198348E-2</v>
      </c>
      <c r="BZ18" s="244">
        <f t="shared" si="90"/>
        <v>4.7920163997933885E-4</v>
      </c>
      <c r="CA18" s="243">
        <f t="shared" si="38"/>
        <v>5.1220588235294115E-2</v>
      </c>
      <c r="CB18" s="243">
        <f t="shared" si="39"/>
        <v>0.1008</v>
      </c>
      <c r="CC18" s="238">
        <f t="shared" si="91"/>
        <v>0.15249978987527346</v>
      </c>
      <c r="CD18" s="244">
        <f t="shared" si="40"/>
        <v>0.15</v>
      </c>
      <c r="CE18" s="243">
        <f t="shared" si="41"/>
        <v>0.09</v>
      </c>
      <c r="CF18" s="243">
        <f t="shared" si="42"/>
        <v>0</v>
      </c>
      <c r="CG18" s="243">
        <f t="shared" si="43"/>
        <v>0</v>
      </c>
      <c r="CH18" s="243">
        <f t="shared" si="44"/>
        <v>0</v>
      </c>
      <c r="CI18" s="243">
        <f t="shared" si="45"/>
        <v>0</v>
      </c>
      <c r="CJ18" s="243">
        <f t="shared" si="46"/>
        <v>0</v>
      </c>
      <c r="CK18" s="243">
        <f t="shared" si="47"/>
        <v>0</v>
      </c>
      <c r="CL18" s="243">
        <f t="shared" si="48"/>
        <v>0</v>
      </c>
      <c r="CM18" s="243">
        <f t="shared" si="49"/>
        <v>0</v>
      </c>
      <c r="CN18" s="243">
        <f t="shared" si="50"/>
        <v>0</v>
      </c>
      <c r="CO18" s="243">
        <f t="shared" si="51"/>
        <v>0</v>
      </c>
      <c r="CP18" s="243">
        <f t="shared" si="52"/>
        <v>0</v>
      </c>
      <c r="CQ18" s="243">
        <f t="shared" si="53"/>
        <v>0</v>
      </c>
      <c r="CR18" s="238">
        <f t="shared" si="54"/>
        <v>0.24</v>
      </c>
      <c r="CS18" s="246">
        <f t="shared" si="55"/>
        <v>3.8583497556624248E-2</v>
      </c>
      <c r="CT18" s="188">
        <f t="shared" si="92"/>
        <v>0.44241068606309608</v>
      </c>
      <c r="CU18" s="206">
        <f t="shared" si="56"/>
        <v>7.9424106860630959</v>
      </c>
      <c r="CV18" s="227">
        <f t="shared" si="57"/>
        <v>0.94429768195701413</v>
      </c>
      <c r="CW18">
        <f t="shared" si="58"/>
        <v>61.120000000000005</v>
      </c>
      <c r="CX18">
        <f t="shared" si="59"/>
        <v>82.746766513888716</v>
      </c>
      <c r="DA18" s="22">
        <v>60</v>
      </c>
      <c r="DB18" s="22">
        <f t="shared" si="93"/>
        <v>376.99111843077515</v>
      </c>
      <c r="DC18" s="253">
        <f t="shared" si="94"/>
        <v>20.202913184419682</v>
      </c>
      <c r="DD18" s="93">
        <f t="shared" si="112"/>
        <v>-64.278605500168851</v>
      </c>
      <c r="DE18" s="253">
        <f t="shared" si="113"/>
        <v>30.619964082627916</v>
      </c>
      <c r="DF18" s="93">
        <f t="shared" si="114"/>
        <v>-63.448437741221362</v>
      </c>
      <c r="DG18" s="251">
        <f t="shared" si="115"/>
        <v>33.936671715476614</v>
      </c>
      <c r="DH18" s="93">
        <f t="shared" si="116"/>
        <v>-69.359983881147613</v>
      </c>
      <c r="DI18" s="91">
        <f t="shared" si="100"/>
        <v>15.701958798818911</v>
      </c>
      <c r="DJ18" s="251">
        <f t="shared" si="101"/>
        <v>130.46831297466355</v>
      </c>
      <c r="DK18" s="92">
        <f t="shared" si="60"/>
        <v>15.870285029850088</v>
      </c>
      <c r="DL18" s="93">
        <f t="shared" si="61"/>
        <v>129.5394571651459</v>
      </c>
      <c r="DM18" s="253">
        <f t="shared" si="102"/>
        <v>35.904871983238593</v>
      </c>
      <c r="DN18" s="262">
        <f t="shared" si="62"/>
        <v>66.189707474494639</v>
      </c>
      <c r="DO18" s="253">
        <f t="shared" si="103"/>
        <v>46.321922881446824</v>
      </c>
      <c r="DP18" s="259">
        <f t="shared" si="104"/>
        <v>67.019875233442178</v>
      </c>
      <c r="DQ18" s="251">
        <f t="shared" si="105"/>
        <v>49.638630514295528</v>
      </c>
      <c r="DR18" s="259">
        <f t="shared" si="106"/>
        <v>61.108329093515934</v>
      </c>
      <c r="DS18" s="253">
        <f t="shared" si="107"/>
        <v>36.073198214269766</v>
      </c>
      <c r="DT18" s="261">
        <f t="shared" si="63"/>
        <v>65.260851664977125</v>
      </c>
      <c r="DU18" s="253">
        <f t="shared" si="108"/>
        <v>46.490249112478004</v>
      </c>
      <c r="DV18" s="93">
        <f t="shared" si="109"/>
        <v>66.091019423924536</v>
      </c>
      <c r="DW18" s="251">
        <f t="shared" si="110"/>
        <v>49.806956745326701</v>
      </c>
      <c r="DX18" s="93">
        <f t="shared" si="111"/>
        <v>60.179473283998291</v>
      </c>
    </row>
    <row r="19" spans="1:128" ht="15.75" thickBot="1" x14ac:dyDescent="0.3">
      <c r="A19" s="12" t="s">
        <v>307</v>
      </c>
      <c r="B19" s="12">
        <f>IF(n5_Flyback_Calc&lt;&gt;0,n5_Flyback/Np,0)</f>
        <v>0</v>
      </c>
      <c r="C19" s="12"/>
      <c r="E19" t="s">
        <v>55</v>
      </c>
      <c r="F19">
        <f>IF(AND(Vout1&lt;&gt;0),(Np*(ABS(Vout1)+Vdiode1))/((Ns1_Flyback*VinMax)+(Np*(ABS(Vout1)+Vdiode1))),0)</f>
        <v>0.40476190476190482</v>
      </c>
      <c r="G19">
        <f>(Pout_Flyback*eff)/(F19*VinMax)</f>
        <v>0.30882352941176466</v>
      </c>
      <c r="H19" s="2">
        <f>(VinMax*F19)/(G19*RR*Fsw)</f>
        <v>6.5532879818594111E-4</v>
      </c>
      <c r="L19" s="58">
        <v>15</v>
      </c>
      <c r="M19" s="62">
        <f t="shared" si="0"/>
        <v>22.200000000000003</v>
      </c>
      <c r="N19" s="42">
        <f t="shared" si="1"/>
        <v>2.551879465860419E-4</v>
      </c>
      <c r="O19" s="19">
        <f t="shared" si="2"/>
        <v>2.296691519274377E-4</v>
      </c>
      <c r="P19" s="43">
        <f t="shared" si="3"/>
        <v>2.0879013811585248E-4</v>
      </c>
      <c r="Q19" s="60">
        <f t="shared" si="4"/>
        <v>0.64761904761904765</v>
      </c>
      <c r="R19" s="63">
        <f t="shared" si="5"/>
        <v>0.33783783783783777</v>
      </c>
      <c r="S19" s="28">
        <f t="shared" si="6"/>
        <v>0.52166136724960244</v>
      </c>
      <c r="T19" s="12">
        <f t="shared" si="7"/>
        <v>0.29952380952380958</v>
      </c>
      <c r="U19" s="12">
        <f t="shared" si="64"/>
        <v>0.6714232720115072</v>
      </c>
      <c r="V19" s="55">
        <f t="shared" si="8"/>
        <v>0.74537698295608534</v>
      </c>
      <c r="W19" s="54">
        <f t="shared" si="65"/>
        <v>0.42553341113107013</v>
      </c>
      <c r="X19" s="55">
        <f t="shared" si="66"/>
        <v>0.25873592582766541</v>
      </c>
      <c r="Y19" s="54">
        <f t="shared" si="9"/>
        <v>0.85291619153337384</v>
      </c>
      <c r="Z19" s="55">
        <f t="shared" si="67"/>
        <v>0.69098916762840412</v>
      </c>
      <c r="AA19" s="54">
        <f t="shared" si="10"/>
        <v>0</v>
      </c>
      <c r="AB19" s="55">
        <f t="shared" si="68"/>
        <v>0</v>
      </c>
      <c r="AC19" s="54">
        <f t="shared" si="11"/>
        <v>0</v>
      </c>
      <c r="AD19" s="55">
        <f t="shared" si="69"/>
        <v>0</v>
      </c>
      <c r="AE19" s="54">
        <f t="shared" si="12"/>
        <v>0</v>
      </c>
      <c r="AF19" s="55">
        <f t="shared" si="70"/>
        <v>0</v>
      </c>
      <c r="AG19" s="54">
        <f t="shared" si="13"/>
        <v>0</v>
      </c>
      <c r="AH19" s="55">
        <f t="shared" si="71"/>
        <v>0</v>
      </c>
      <c r="AI19" s="54">
        <f t="shared" si="72"/>
        <v>0</v>
      </c>
      <c r="AJ19" s="177">
        <f t="shared" si="73"/>
        <v>0</v>
      </c>
      <c r="AK19" s="54">
        <f t="shared" si="14"/>
        <v>0</v>
      </c>
      <c r="AL19" s="55">
        <f t="shared" si="15"/>
        <v>0</v>
      </c>
      <c r="AM19" s="179">
        <f t="shared" si="16"/>
        <v>5.1831937620386688E-2</v>
      </c>
      <c r="AN19" s="52">
        <f t="shared" si="17"/>
        <v>0</v>
      </c>
      <c r="AO19" s="74">
        <f t="shared" si="74"/>
        <v>0</v>
      </c>
      <c r="AP19" s="78">
        <v>0</v>
      </c>
      <c r="AQ19" s="87">
        <f t="shared" si="18"/>
        <v>0</v>
      </c>
      <c r="AR19" s="46">
        <f t="shared" si="19"/>
        <v>84.164272479411707</v>
      </c>
      <c r="AS19" s="69">
        <f t="shared" si="20"/>
        <v>6.3123204359558788E-2</v>
      </c>
      <c r="AT19" s="42">
        <f t="shared" si="21"/>
        <v>91.093677271970591</v>
      </c>
      <c r="AU19" s="79">
        <f t="shared" si="22"/>
        <v>6.8320257953977948E-2</v>
      </c>
      <c r="AV19" s="83">
        <f t="shared" si="75"/>
        <v>1.2276305005610088E-2</v>
      </c>
      <c r="AW19" s="84">
        <f t="shared" si="76"/>
        <v>7.2005316326724435E-3</v>
      </c>
      <c r="AX19" s="42">
        <f t="shared" si="23"/>
        <v>2.639489953632148E-2</v>
      </c>
      <c r="AY19" s="43">
        <f t="shared" si="77"/>
        <v>5.0410671552175851E-2</v>
      </c>
      <c r="AZ19" s="85">
        <f t="shared" si="24"/>
        <v>0</v>
      </c>
      <c r="BA19" s="86">
        <f t="shared" si="78"/>
        <v>0</v>
      </c>
      <c r="BB19" s="85">
        <f t="shared" si="25"/>
        <v>0</v>
      </c>
      <c r="BC19" s="86">
        <f t="shared" si="79"/>
        <v>0</v>
      </c>
      <c r="BD19" s="85">
        <f t="shared" si="26"/>
        <v>0</v>
      </c>
      <c r="BE19" s="86">
        <f t="shared" si="80"/>
        <v>0</v>
      </c>
      <c r="BF19" s="85">
        <f t="shared" si="27"/>
        <v>0</v>
      </c>
      <c r="BG19" s="86">
        <f t="shared" si="81"/>
        <v>0</v>
      </c>
      <c r="BH19" s="85">
        <f t="shared" si="28"/>
        <v>0</v>
      </c>
      <c r="BI19" s="86">
        <f t="shared" si="82"/>
        <v>0</v>
      </c>
      <c r="BJ19" s="85">
        <f t="shared" si="29"/>
        <v>0</v>
      </c>
      <c r="BK19" s="207">
        <f t="shared" si="30"/>
        <v>0</v>
      </c>
      <c r="BL19" s="85">
        <f t="shared" si="83"/>
        <v>9.6282407726779859E-2</v>
      </c>
      <c r="BM19" s="176">
        <f t="shared" si="84"/>
        <v>9.6282407726779859E-2</v>
      </c>
      <c r="BN19" s="176">
        <f t="shared" si="85"/>
        <v>9.6282407726779859E-2</v>
      </c>
      <c r="BO19" s="176">
        <f t="shared" si="86"/>
        <v>0.15940561208633863</v>
      </c>
      <c r="BP19" s="86">
        <f t="shared" si="87"/>
        <v>0.16460266568075782</v>
      </c>
      <c r="BQ19" s="211">
        <f t="shared" si="88"/>
        <v>7.9894083272461624E-3</v>
      </c>
      <c r="BR19" s="237">
        <f t="shared" si="31"/>
        <v>2.5000000000000001E-3</v>
      </c>
      <c r="BS19" s="237">
        <f t="shared" si="32"/>
        <v>0</v>
      </c>
      <c r="BT19" s="237">
        <f t="shared" si="33"/>
        <v>0</v>
      </c>
      <c r="BU19" s="237">
        <f t="shared" si="34"/>
        <v>0</v>
      </c>
      <c r="BV19" s="237">
        <f t="shared" si="35"/>
        <v>0</v>
      </c>
      <c r="BW19" s="237">
        <f t="shared" si="36"/>
        <v>0</v>
      </c>
      <c r="BX19" s="212">
        <f t="shared" si="37"/>
        <v>0</v>
      </c>
      <c r="BY19" s="238">
        <f t="shared" si="89"/>
        <v>1.0489408327246163E-2</v>
      </c>
      <c r="BZ19" s="244">
        <f t="shared" si="90"/>
        <v>4.3371073776479166E-4</v>
      </c>
      <c r="CA19" s="243">
        <f t="shared" si="38"/>
        <v>5.2113970588235296E-2</v>
      </c>
      <c r="CB19" s="243">
        <f t="shared" si="39"/>
        <v>0.1008</v>
      </c>
      <c r="CC19" s="238">
        <f t="shared" si="91"/>
        <v>0.15334768132600007</v>
      </c>
      <c r="CD19" s="244">
        <f t="shared" si="40"/>
        <v>0.15</v>
      </c>
      <c r="CE19" s="243">
        <f t="shared" si="41"/>
        <v>0.09</v>
      </c>
      <c r="CF19" s="243">
        <f t="shared" si="42"/>
        <v>0</v>
      </c>
      <c r="CG19" s="243">
        <f t="shared" si="43"/>
        <v>0</v>
      </c>
      <c r="CH19" s="243">
        <f t="shared" si="44"/>
        <v>0</v>
      </c>
      <c r="CI19" s="243">
        <f t="shared" si="45"/>
        <v>0</v>
      </c>
      <c r="CJ19" s="243">
        <f t="shared" si="46"/>
        <v>0</v>
      </c>
      <c r="CK19" s="243">
        <f t="shared" si="47"/>
        <v>0</v>
      </c>
      <c r="CL19" s="243">
        <f t="shared" si="48"/>
        <v>0</v>
      </c>
      <c r="CM19" s="243">
        <f t="shared" si="49"/>
        <v>0</v>
      </c>
      <c r="CN19" s="243">
        <f t="shared" si="50"/>
        <v>0</v>
      </c>
      <c r="CO19" s="243">
        <f t="shared" si="51"/>
        <v>0</v>
      </c>
      <c r="CP19" s="243">
        <f t="shared" si="52"/>
        <v>0</v>
      </c>
      <c r="CQ19" s="243">
        <f t="shared" si="53"/>
        <v>0</v>
      </c>
      <c r="CR19" s="238">
        <f t="shared" si="54"/>
        <v>0.24</v>
      </c>
      <c r="CS19" s="246">
        <f t="shared" si="55"/>
        <v>3.6814373999137097E-2</v>
      </c>
      <c r="CT19" s="188">
        <f t="shared" si="92"/>
        <v>0.44065146365238334</v>
      </c>
      <c r="CU19" s="206">
        <f t="shared" si="56"/>
        <v>7.9406514636523831</v>
      </c>
      <c r="CV19" s="227">
        <f t="shared" si="57"/>
        <v>0.94450688766917612</v>
      </c>
      <c r="CW19">
        <f t="shared" si="58"/>
        <v>62.2</v>
      </c>
      <c r="CX19">
        <f t="shared" si="59"/>
        <v>83.432268135991464</v>
      </c>
      <c r="DA19" s="22">
        <v>70</v>
      </c>
      <c r="DB19" s="22">
        <f t="shared" si="93"/>
        <v>439.82297150257102</v>
      </c>
      <c r="DC19" s="253">
        <f t="shared" si="94"/>
        <v>19.102291557676814</v>
      </c>
      <c r="DD19" s="93">
        <f t="shared" si="112"/>
        <v>-67.803898291191814</v>
      </c>
      <c r="DE19" s="253">
        <f t="shared" si="113"/>
        <v>29.518998483664301</v>
      </c>
      <c r="DF19" s="93">
        <f t="shared" si="114"/>
        <v>-66.835396463475419</v>
      </c>
      <c r="DG19" s="251">
        <f t="shared" si="115"/>
        <v>32.743121813522521</v>
      </c>
      <c r="DH19" s="93">
        <f t="shared" si="116"/>
        <v>-72.102696898896554</v>
      </c>
      <c r="DI19" s="91">
        <f t="shared" si="100"/>
        <v>14.980990351335638</v>
      </c>
      <c r="DJ19" s="251">
        <f t="shared" si="101"/>
        <v>134.84548946806541</v>
      </c>
      <c r="DK19" s="92">
        <f t="shared" si="60"/>
        <v>15.127605441982448</v>
      </c>
      <c r="DL19" s="93">
        <f t="shared" si="61"/>
        <v>133.90269750504362</v>
      </c>
      <c r="DM19" s="253">
        <f t="shared" si="102"/>
        <v>34.083281909012456</v>
      </c>
      <c r="DN19" s="262">
        <f t="shared" si="62"/>
        <v>67.041591176873638</v>
      </c>
      <c r="DO19" s="253">
        <f t="shared" si="103"/>
        <v>44.49998883499994</v>
      </c>
      <c r="DP19" s="259">
        <f t="shared" si="104"/>
        <v>68.01009300458999</v>
      </c>
      <c r="DQ19" s="251">
        <f t="shared" si="105"/>
        <v>47.724112164858155</v>
      </c>
      <c r="DR19" s="259">
        <f t="shared" si="106"/>
        <v>62.742792569168856</v>
      </c>
      <c r="DS19" s="253">
        <f t="shared" si="107"/>
        <v>34.22989699965926</v>
      </c>
      <c r="DT19" s="261">
        <f t="shared" si="63"/>
        <v>66.098799213851763</v>
      </c>
      <c r="DU19" s="253">
        <f t="shared" si="108"/>
        <v>44.646603925646751</v>
      </c>
      <c r="DV19" s="93">
        <f t="shared" si="109"/>
        <v>67.0673010415682</v>
      </c>
      <c r="DW19" s="251">
        <f t="shared" si="110"/>
        <v>47.870727255504967</v>
      </c>
      <c r="DX19" s="93">
        <f t="shared" si="111"/>
        <v>61.800000606147066</v>
      </c>
    </row>
    <row r="20" spans="1:128" ht="15.75" thickBot="1" x14ac:dyDescent="0.3">
      <c r="A20" s="12" t="s">
        <v>308</v>
      </c>
      <c r="B20" s="21">
        <f>IF(AND(Vout6&lt;&gt;0,n1_Flyback&lt;&gt;0,IoutPri_FBB=0),((ABS(Vout6)+Vdiode6)*(n1_Flyback/Np))/(ABS(Vout1)+Vdiode1),0)</f>
        <v>0</v>
      </c>
      <c r="C20" s="12"/>
      <c r="L20" s="58">
        <v>16</v>
      </c>
      <c r="M20" s="62">
        <f t="shared" si="0"/>
        <v>23.28</v>
      </c>
      <c r="N20" s="42">
        <f t="shared" si="1"/>
        <v>2.7124157225440735E-4</v>
      </c>
      <c r="O20" s="19">
        <f t="shared" si="2"/>
        <v>2.4411741502896659E-4</v>
      </c>
      <c r="P20" s="43">
        <f t="shared" si="3"/>
        <v>2.2192492275360597E-4</v>
      </c>
      <c r="Q20" s="60">
        <f t="shared" si="4"/>
        <v>0.63670411985018727</v>
      </c>
      <c r="R20" s="63">
        <f t="shared" si="5"/>
        <v>0.32216494845360821</v>
      </c>
      <c r="S20" s="28">
        <f t="shared" si="6"/>
        <v>0.50598847786537293</v>
      </c>
      <c r="T20" s="12">
        <f t="shared" si="7"/>
        <v>0.30880149812734087</v>
      </c>
      <c r="U20" s="12">
        <f t="shared" si="64"/>
        <v>0.66038922692904334</v>
      </c>
      <c r="V20" s="55">
        <f t="shared" si="8"/>
        <v>0.72547278906991974</v>
      </c>
      <c r="W20" s="54">
        <f t="shared" si="65"/>
        <v>0.40996504797050698</v>
      </c>
      <c r="X20" s="55">
        <f t="shared" si="66"/>
        <v>0.25353715022722811</v>
      </c>
      <c r="Y20" s="54">
        <f t="shared" si="9"/>
        <v>0.84135397626510089</v>
      </c>
      <c r="Z20" s="55">
        <f t="shared" si="67"/>
        <v>0.67666573237980354</v>
      </c>
      <c r="AA20" s="54">
        <f t="shared" si="10"/>
        <v>0</v>
      </c>
      <c r="AB20" s="55">
        <f t="shared" si="68"/>
        <v>0</v>
      </c>
      <c r="AC20" s="54">
        <f t="shared" si="11"/>
        <v>0</v>
      </c>
      <c r="AD20" s="55">
        <f t="shared" si="69"/>
        <v>0</v>
      </c>
      <c r="AE20" s="54">
        <f t="shared" si="12"/>
        <v>0</v>
      </c>
      <c r="AF20" s="55">
        <f t="shared" si="70"/>
        <v>0</v>
      </c>
      <c r="AG20" s="54">
        <f t="shared" si="13"/>
        <v>0</v>
      </c>
      <c r="AH20" s="55">
        <f t="shared" si="71"/>
        <v>0</v>
      </c>
      <c r="AI20" s="54">
        <f t="shared" si="72"/>
        <v>0</v>
      </c>
      <c r="AJ20" s="177">
        <f t="shared" si="73"/>
        <v>0</v>
      </c>
      <c r="AK20" s="54">
        <f t="shared" si="14"/>
        <v>0</v>
      </c>
      <c r="AL20" s="55">
        <f t="shared" si="15"/>
        <v>0</v>
      </c>
      <c r="AM20" s="179">
        <f t="shared" si="16"/>
        <v>5.3437421263654049E-2</v>
      </c>
      <c r="AN20" s="52">
        <f t="shared" si="17"/>
        <v>0</v>
      </c>
      <c r="AO20" s="74">
        <f t="shared" si="74"/>
        <v>0</v>
      </c>
      <c r="AP20" s="78">
        <v>0</v>
      </c>
      <c r="AQ20" s="87">
        <f t="shared" si="18"/>
        <v>0</v>
      </c>
      <c r="AR20" s="46">
        <f t="shared" si="19"/>
        <v>91.278308009387132</v>
      </c>
      <c r="AS20" s="69">
        <f t="shared" si="20"/>
        <v>6.8458731007040335E-2</v>
      </c>
      <c r="AT20" s="42">
        <f t="shared" si="21"/>
        <v>98.192525887087825</v>
      </c>
      <c r="AU20" s="79">
        <f t="shared" si="22"/>
        <v>7.3644394415315867E-2</v>
      </c>
      <c r="AV20" s="83">
        <f t="shared" si="75"/>
        <v>1.1163687395499132E-2</v>
      </c>
      <c r="AW20" s="84">
        <f t="shared" si="76"/>
        <v>6.9140784215777603E-3</v>
      </c>
      <c r="AX20" s="42">
        <f t="shared" si="23"/>
        <v>2.639489953632148E-2</v>
      </c>
      <c r="AY20" s="43">
        <f t="shared" si="77"/>
        <v>4.8342418282518416E-2</v>
      </c>
      <c r="AZ20" s="85">
        <f t="shared" si="24"/>
        <v>0</v>
      </c>
      <c r="BA20" s="86">
        <f t="shared" si="78"/>
        <v>0</v>
      </c>
      <c r="BB20" s="85">
        <f t="shared" si="25"/>
        <v>0</v>
      </c>
      <c r="BC20" s="86">
        <f t="shared" si="79"/>
        <v>0</v>
      </c>
      <c r="BD20" s="85">
        <f t="shared" si="26"/>
        <v>0</v>
      </c>
      <c r="BE20" s="86">
        <f t="shared" si="80"/>
        <v>0</v>
      </c>
      <c r="BF20" s="85">
        <f t="shared" si="27"/>
        <v>0</v>
      </c>
      <c r="BG20" s="86">
        <f t="shared" si="81"/>
        <v>0</v>
      </c>
      <c r="BH20" s="85">
        <f t="shared" si="28"/>
        <v>0</v>
      </c>
      <c r="BI20" s="86">
        <f t="shared" si="82"/>
        <v>0</v>
      </c>
      <c r="BJ20" s="85">
        <f t="shared" si="29"/>
        <v>0</v>
      </c>
      <c r="BK20" s="207">
        <f t="shared" si="30"/>
        <v>0</v>
      </c>
      <c r="BL20" s="85">
        <f t="shared" si="83"/>
        <v>9.2815083635916784E-2</v>
      </c>
      <c r="BM20" s="176">
        <f t="shared" si="84"/>
        <v>9.2815083635916784E-2</v>
      </c>
      <c r="BN20" s="176">
        <f t="shared" si="85"/>
        <v>9.2815083635916784E-2</v>
      </c>
      <c r="BO20" s="176">
        <f t="shared" si="86"/>
        <v>0.16127381464295712</v>
      </c>
      <c r="BP20" s="86">
        <f t="shared" si="87"/>
        <v>0.16645947805123265</v>
      </c>
      <c r="BQ20" s="211">
        <f t="shared" si="88"/>
        <v>7.2653177808481234E-3</v>
      </c>
      <c r="BR20" s="237">
        <f t="shared" si="31"/>
        <v>2.5000000000000001E-3</v>
      </c>
      <c r="BS20" s="237">
        <f t="shared" si="32"/>
        <v>0</v>
      </c>
      <c r="BT20" s="237">
        <f t="shared" si="33"/>
        <v>0</v>
      </c>
      <c r="BU20" s="237">
        <f t="shared" si="34"/>
        <v>0</v>
      </c>
      <c r="BV20" s="237">
        <f t="shared" si="35"/>
        <v>0</v>
      </c>
      <c r="BW20" s="237">
        <f t="shared" si="36"/>
        <v>0</v>
      </c>
      <c r="BX20" s="212">
        <f t="shared" si="37"/>
        <v>0</v>
      </c>
      <c r="BY20" s="238">
        <f t="shared" si="89"/>
        <v>9.7653177808481231E-3</v>
      </c>
      <c r="BZ20" s="244">
        <f t="shared" si="90"/>
        <v>3.9440296524604094E-4</v>
      </c>
      <c r="CA20" s="243">
        <f t="shared" si="38"/>
        <v>5.3007352941176478E-2</v>
      </c>
      <c r="CB20" s="243">
        <f t="shared" si="39"/>
        <v>0.1008</v>
      </c>
      <c r="CC20" s="238">
        <f t="shared" si="91"/>
        <v>0.15420175590642252</v>
      </c>
      <c r="CD20" s="244">
        <f t="shared" si="40"/>
        <v>0.15</v>
      </c>
      <c r="CE20" s="243">
        <f t="shared" si="41"/>
        <v>0.09</v>
      </c>
      <c r="CF20" s="243">
        <f t="shared" si="42"/>
        <v>0</v>
      </c>
      <c r="CG20" s="243">
        <f t="shared" si="43"/>
        <v>0</v>
      </c>
      <c r="CH20" s="243">
        <f t="shared" si="44"/>
        <v>0</v>
      </c>
      <c r="CI20" s="243">
        <f t="shared" si="45"/>
        <v>0</v>
      </c>
      <c r="CJ20" s="243">
        <f t="shared" si="46"/>
        <v>0</v>
      </c>
      <c r="CK20" s="243">
        <f t="shared" si="47"/>
        <v>0</v>
      </c>
      <c r="CL20" s="243">
        <f t="shared" si="48"/>
        <v>0</v>
      </c>
      <c r="CM20" s="243">
        <f t="shared" si="49"/>
        <v>0</v>
      </c>
      <c r="CN20" s="243">
        <f t="shared" si="50"/>
        <v>0</v>
      </c>
      <c r="CO20" s="243">
        <f t="shared" si="51"/>
        <v>0</v>
      </c>
      <c r="CP20" s="243">
        <f t="shared" si="52"/>
        <v>0</v>
      </c>
      <c r="CQ20" s="243">
        <f t="shared" si="53"/>
        <v>0</v>
      </c>
      <c r="CR20" s="238">
        <f t="shared" si="54"/>
        <v>0.24</v>
      </c>
      <c r="CS20" s="246">
        <f t="shared" si="55"/>
        <v>3.5243155313144925E-2</v>
      </c>
      <c r="CT20" s="188">
        <f t="shared" si="92"/>
        <v>0.43921022900041556</v>
      </c>
      <c r="CU20" s="206">
        <f t="shared" si="56"/>
        <v>7.9392102290004152</v>
      </c>
      <c r="CV20" s="227">
        <f t="shared" si="57"/>
        <v>0.94467834755199398</v>
      </c>
      <c r="CW20">
        <f t="shared" si="58"/>
        <v>63.28</v>
      </c>
      <c r="CX20">
        <f t="shared" si="59"/>
        <v>84.163340993335794</v>
      </c>
      <c r="DA20" s="22">
        <v>80</v>
      </c>
      <c r="DB20" s="22">
        <f t="shared" si="93"/>
        <v>502.6548245743669</v>
      </c>
      <c r="DC20" s="253">
        <f t="shared" si="94"/>
        <v>18.104586539919428</v>
      </c>
      <c r="DD20" s="93">
        <f t="shared" si="112"/>
        <v>-70.604458917090327</v>
      </c>
      <c r="DE20" s="253">
        <f t="shared" si="113"/>
        <v>28.520896610421097</v>
      </c>
      <c r="DF20" s="93">
        <f t="shared" si="114"/>
        <v>-69.497635581953674</v>
      </c>
      <c r="DG20" s="251">
        <f t="shared" si="115"/>
        <v>31.680318501516634</v>
      </c>
      <c r="DH20" s="93">
        <f t="shared" si="116"/>
        <v>-74.217078424305598</v>
      </c>
      <c r="DI20" s="91">
        <f t="shared" si="100"/>
        <v>14.439582419546202</v>
      </c>
      <c r="DJ20" s="251">
        <f t="shared" si="101"/>
        <v>138.63812103886821</v>
      </c>
      <c r="DK20" s="92">
        <f t="shared" si="60"/>
        <v>14.567264313440706</v>
      </c>
      <c r="DL20" s="93">
        <f t="shared" si="61"/>
        <v>137.70103824049519</v>
      </c>
      <c r="DM20" s="253">
        <f t="shared" si="102"/>
        <v>32.54416895946563</v>
      </c>
      <c r="DN20" s="262">
        <f t="shared" si="62"/>
        <v>68.033662121777894</v>
      </c>
      <c r="DO20" s="253">
        <f t="shared" si="103"/>
        <v>42.960479029967303</v>
      </c>
      <c r="DP20" s="259">
        <f t="shared" si="104"/>
        <v>69.140485456914533</v>
      </c>
      <c r="DQ20" s="251">
        <f t="shared" si="105"/>
        <v>46.119900921062836</v>
      </c>
      <c r="DR20" s="259">
        <f t="shared" si="106"/>
        <v>64.421042614562609</v>
      </c>
      <c r="DS20" s="253">
        <f t="shared" si="107"/>
        <v>32.671850853360134</v>
      </c>
      <c r="DT20" s="261">
        <f t="shared" si="63"/>
        <v>67.096579323404896</v>
      </c>
      <c r="DU20" s="253">
        <f t="shared" si="108"/>
        <v>43.088160923861807</v>
      </c>
      <c r="DV20" s="93">
        <f t="shared" si="109"/>
        <v>68.203402658541521</v>
      </c>
      <c r="DW20" s="251">
        <f t="shared" si="110"/>
        <v>46.24758281495734</v>
      </c>
      <c r="DX20" s="93">
        <f t="shared" si="111"/>
        <v>63.483959816189596</v>
      </c>
    </row>
    <row r="21" spans="1:128" ht="15.75" thickBot="1" x14ac:dyDescent="0.3">
      <c r="A21" s="12" t="s">
        <v>309</v>
      </c>
      <c r="B21" s="12">
        <f>IF(n6_Flyback_Calc&lt;&gt;0,n6_Flyback/Np,0)</f>
        <v>0</v>
      </c>
      <c r="C21" s="12"/>
      <c r="L21" s="58">
        <v>17</v>
      </c>
      <c r="M21" s="62">
        <f t="shared" si="0"/>
        <v>24.36</v>
      </c>
      <c r="N21" s="42">
        <f t="shared" si="1"/>
        <v>2.8722862813771713E-4</v>
      </c>
      <c r="O21" s="19">
        <f t="shared" si="2"/>
        <v>2.585057653239454E-4</v>
      </c>
      <c r="P21" s="43">
        <f t="shared" si="3"/>
        <v>2.3500524120358672E-4</v>
      </c>
      <c r="Q21" s="60">
        <f t="shared" si="4"/>
        <v>0.62615101289134434</v>
      </c>
      <c r="R21" s="63">
        <f t="shared" si="5"/>
        <v>0.30788177339901479</v>
      </c>
      <c r="S21" s="28">
        <f t="shared" si="6"/>
        <v>0.49170530281077951</v>
      </c>
      <c r="T21" s="12">
        <f t="shared" si="7"/>
        <v>0.31777163904235728</v>
      </c>
      <c r="U21" s="12">
        <f t="shared" si="64"/>
        <v>0.65059112233195815</v>
      </c>
      <c r="V21" s="55">
        <f t="shared" si="8"/>
        <v>0.70734641658392272</v>
      </c>
      <c r="W21" s="54">
        <f t="shared" si="65"/>
        <v>0.39579805398487972</v>
      </c>
      <c r="X21" s="55">
        <f t="shared" si="66"/>
        <v>0.248726583112653</v>
      </c>
      <c r="Y21" s="54">
        <f t="shared" si="9"/>
        <v>0.8307956335974479</v>
      </c>
      <c r="Z21" s="55">
        <f t="shared" si="67"/>
        <v>0.66349181216092257</v>
      </c>
      <c r="AA21" s="54">
        <f t="shared" si="10"/>
        <v>0</v>
      </c>
      <c r="AB21" s="55">
        <f t="shared" si="68"/>
        <v>0</v>
      </c>
      <c r="AC21" s="54">
        <f t="shared" si="11"/>
        <v>0</v>
      </c>
      <c r="AD21" s="55">
        <f t="shared" si="69"/>
        <v>0</v>
      </c>
      <c r="AE21" s="54">
        <f t="shared" si="12"/>
        <v>0</v>
      </c>
      <c r="AF21" s="55">
        <f t="shared" si="70"/>
        <v>0</v>
      </c>
      <c r="AG21" s="54">
        <f t="shared" si="13"/>
        <v>0</v>
      </c>
      <c r="AH21" s="55">
        <f t="shared" si="71"/>
        <v>0</v>
      </c>
      <c r="AI21" s="54">
        <f t="shared" si="72"/>
        <v>0</v>
      </c>
      <c r="AJ21" s="177">
        <f t="shared" si="73"/>
        <v>0</v>
      </c>
      <c r="AK21" s="54">
        <f t="shared" si="14"/>
        <v>0</v>
      </c>
      <c r="AL21" s="55">
        <f t="shared" si="15"/>
        <v>0</v>
      </c>
      <c r="AM21" s="179">
        <f t="shared" si="16"/>
        <v>5.4989684454658398E-2</v>
      </c>
      <c r="AN21" s="52">
        <f t="shared" si="17"/>
        <v>0</v>
      </c>
      <c r="AO21" s="74">
        <f t="shared" si="74"/>
        <v>0</v>
      </c>
      <c r="AP21" s="78">
        <v>0</v>
      </c>
      <c r="AQ21" s="87">
        <f t="shared" si="18"/>
        <v>0</v>
      </c>
      <c r="AR21" s="46">
        <f t="shared" si="19"/>
        <v>98.502360353024912</v>
      </c>
      <c r="AS21" s="69">
        <f t="shared" si="20"/>
        <v>7.3876770264768674E-2</v>
      </c>
      <c r="AT21" s="42">
        <f t="shared" si="21"/>
        <v>105.35868488898392</v>
      </c>
      <c r="AU21" s="79">
        <f t="shared" si="22"/>
        <v>7.9019013666737928E-2</v>
      </c>
      <c r="AV21" s="83">
        <f t="shared" si="75"/>
        <v>1.0195747016841113E-2</v>
      </c>
      <c r="AW21" s="84">
        <f t="shared" si="76"/>
        <v>6.6541946321956504E-3</v>
      </c>
      <c r="AX21" s="42">
        <f t="shared" si="23"/>
        <v>2.639489953632148E-2</v>
      </c>
      <c r="AY21" s="43">
        <f t="shared" si="77"/>
        <v>4.6478396902629358E-2</v>
      </c>
      <c r="AZ21" s="85">
        <f t="shared" si="24"/>
        <v>0</v>
      </c>
      <c r="BA21" s="86">
        <f t="shared" si="78"/>
        <v>0</v>
      </c>
      <c r="BB21" s="85">
        <f t="shared" si="25"/>
        <v>0</v>
      </c>
      <c r="BC21" s="86">
        <f t="shared" si="79"/>
        <v>0</v>
      </c>
      <c r="BD21" s="85">
        <f t="shared" si="26"/>
        <v>0</v>
      </c>
      <c r="BE21" s="86">
        <f t="shared" si="80"/>
        <v>0</v>
      </c>
      <c r="BF21" s="85">
        <f t="shared" si="27"/>
        <v>0</v>
      </c>
      <c r="BG21" s="86">
        <f t="shared" si="81"/>
        <v>0</v>
      </c>
      <c r="BH21" s="85">
        <f t="shared" si="28"/>
        <v>0</v>
      </c>
      <c r="BI21" s="86">
        <f t="shared" si="82"/>
        <v>0</v>
      </c>
      <c r="BJ21" s="85">
        <f t="shared" si="29"/>
        <v>0</v>
      </c>
      <c r="BK21" s="207">
        <f t="shared" si="30"/>
        <v>0</v>
      </c>
      <c r="BL21" s="85">
        <f t="shared" si="83"/>
        <v>8.97232380879876E-2</v>
      </c>
      <c r="BM21" s="176">
        <f t="shared" si="84"/>
        <v>8.97232380879876E-2</v>
      </c>
      <c r="BN21" s="176">
        <f t="shared" si="85"/>
        <v>8.97232380879876E-2</v>
      </c>
      <c r="BO21" s="176">
        <f t="shared" si="86"/>
        <v>0.16360000835275629</v>
      </c>
      <c r="BP21" s="86">
        <f t="shared" si="87"/>
        <v>0.16874225175472551</v>
      </c>
      <c r="BQ21" s="211">
        <f t="shared" si="88"/>
        <v>6.6353830473925611E-3</v>
      </c>
      <c r="BR21" s="237">
        <f t="shared" si="31"/>
        <v>2.5000000000000001E-3</v>
      </c>
      <c r="BS21" s="237">
        <f t="shared" si="32"/>
        <v>0</v>
      </c>
      <c r="BT21" s="237">
        <f t="shared" si="33"/>
        <v>0</v>
      </c>
      <c r="BU21" s="237">
        <f t="shared" si="34"/>
        <v>0</v>
      </c>
      <c r="BV21" s="237">
        <f t="shared" si="35"/>
        <v>0</v>
      </c>
      <c r="BW21" s="237">
        <f t="shared" si="36"/>
        <v>0</v>
      </c>
      <c r="BX21" s="212">
        <f t="shared" si="37"/>
        <v>0</v>
      </c>
      <c r="BY21" s="238">
        <f t="shared" si="89"/>
        <v>9.1353830473925608E-3</v>
      </c>
      <c r="BZ21" s="244">
        <f t="shared" si="90"/>
        <v>3.6020650828702473E-4</v>
      </c>
      <c r="CA21" s="243">
        <f t="shared" si="38"/>
        <v>5.3900735294117659E-2</v>
      </c>
      <c r="CB21" s="243">
        <f t="shared" si="39"/>
        <v>0.1008</v>
      </c>
      <c r="CC21" s="238">
        <f t="shared" si="91"/>
        <v>0.15506094180240468</v>
      </c>
      <c r="CD21" s="244">
        <f t="shared" si="40"/>
        <v>0.15</v>
      </c>
      <c r="CE21" s="243">
        <f t="shared" si="41"/>
        <v>0.09</v>
      </c>
      <c r="CF21" s="243">
        <f t="shared" si="42"/>
        <v>0</v>
      </c>
      <c r="CG21" s="243">
        <f t="shared" si="43"/>
        <v>0</v>
      </c>
      <c r="CH21" s="243">
        <f t="shared" si="44"/>
        <v>0</v>
      </c>
      <c r="CI21" s="243">
        <f t="shared" si="45"/>
        <v>0</v>
      </c>
      <c r="CJ21" s="243">
        <f t="shared" si="46"/>
        <v>0</v>
      </c>
      <c r="CK21" s="243">
        <f t="shared" si="47"/>
        <v>0</v>
      </c>
      <c r="CL21" s="243">
        <f t="shared" si="48"/>
        <v>0</v>
      </c>
      <c r="CM21" s="243">
        <f t="shared" si="49"/>
        <v>0</v>
      </c>
      <c r="CN21" s="243">
        <f t="shared" si="50"/>
        <v>0</v>
      </c>
      <c r="CO21" s="243">
        <f t="shared" si="51"/>
        <v>0</v>
      </c>
      <c r="CP21" s="243">
        <f t="shared" si="52"/>
        <v>0</v>
      </c>
      <c r="CQ21" s="243">
        <f t="shared" si="53"/>
        <v>0</v>
      </c>
      <c r="CR21" s="238">
        <f t="shared" si="54"/>
        <v>0.24</v>
      </c>
      <c r="CS21" s="246">
        <f t="shared" si="55"/>
        <v>3.3835804095022133E-2</v>
      </c>
      <c r="CT21" s="188">
        <f t="shared" si="92"/>
        <v>0.43803212894481935</v>
      </c>
      <c r="CU21" s="206">
        <f t="shared" si="56"/>
        <v>7.938032128944819</v>
      </c>
      <c r="CV21" s="227">
        <f t="shared" si="57"/>
        <v>0.94481854925383812</v>
      </c>
      <c r="CW21">
        <f t="shared" si="58"/>
        <v>64.36</v>
      </c>
      <c r="CX21">
        <f t="shared" si="59"/>
        <v>84.933497720542249</v>
      </c>
      <c r="DA21" s="22">
        <v>90</v>
      </c>
      <c r="DB21" s="22">
        <f t="shared" si="93"/>
        <v>565.48667764616278</v>
      </c>
      <c r="DC21" s="253">
        <f t="shared" si="94"/>
        <v>17.196459131140411</v>
      </c>
      <c r="DD21" s="93">
        <f t="shared" si="112"/>
        <v>-72.882766935834525</v>
      </c>
      <c r="DE21" s="253">
        <f t="shared" si="113"/>
        <v>27.612319478113086</v>
      </c>
      <c r="DF21" s="93">
        <f t="shared" si="114"/>
        <v>-71.637636446424096</v>
      </c>
      <c r="DG21" s="251">
        <f t="shared" si="115"/>
        <v>30.725072129712263</v>
      </c>
      <c r="DH21" s="93">
        <f t="shared" si="116"/>
        <v>-75.892469093023507</v>
      </c>
      <c r="DI21" s="91">
        <f t="shared" si="100"/>
        <v>14.025099329757181</v>
      </c>
      <c r="DJ21" s="251">
        <f t="shared" si="101"/>
        <v>141.92767358714181</v>
      </c>
      <c r="DK21" s="92">
        <f t="shared" si="60"/>
        <v>14.136539125331494</v>
      </c>
      <c r="DL21" s="93">
        <f t="shared" si="61"/>
        <v>141.00894483783009</v>
      </c>
      <c r="DM21" s="253">
        <f t="shared" si="102"/>
        <v>31.22155846089759</v>
      </c>
      <c r="DN21" s="262">
        <f t="shared" si="62"/>
        <v>69.044906651307272</v>
      </c>
      <c r="DO21" s="253">
        <f t="shared" si="103"/>
        <v>41.637418807870269</v>
      </c>
      <c r="DP21" s="259">
        <f t="shared" si="104"/>
        <v>70.290037140717715</v>
      </c>
      <c r="DQ21" s="251">
        <f t="shared" si="105"/>
        <v>44.750171459469442</v>
      </c>
      <c r="DR21" s="259">
        <f t="shared" si="106"/>
        <v>66.035204494118304</v>
      </c>
      <c r="DS21" s="253">
        <f t="shared" si="107"/>
        <v>31.332998256471903</v>
      </c>
      <c r="DT21" s="261">
        <f t="shared" si="63"/>
        <v>68.126177901995533</v>
      </c>
      <c r="DU21" s="253">
        <f t="shared" si="108"/>
        <v>41.748858603444582</v>
      </c>
      <c r="DV21" s="93">
        <f t="shared" si="109"/>
        <v>69.371308391405989</v>
      </c>
      <c r="DW21" s="251">
        <f t="shared" si="110"/>
        <v>44.861611255043755</v>
      </c>
      <c r="DX21" s="93">
        <f t="shared" si="111"/>
        <v>65.116475744806579</v>
      </c>
    </row>
    <row r="22" spans="1:128" ht="15.75" thickBot="1" x14ac:dyDescent="0.3">
      <c r="A22" s="12" t="s">
        <v>399</v>
      </c>
      <c r="B22" s="8">
        <f>IF(AND(VOUTAUX&lt;&gt;0,n1_Flyback&lt;&gt;0,IoutPri_FBB=0),((ABS(VOUTAUX)+VdiodeAux)*(n1_Flyback/Np))/(ABS(Vout1)+Vdiode1),0)</f>
        <v>0</v>
      </c>
      <c r="C22" s="12"/>
      <c r="E22" s="525" t="s">
        <v>847</v>
      </c>
      <c r="F22" s="525"/>
      <c r="G22" s="525"/>
      <c r="H22" s="525"/>
      <c r="I22" t="s">
        <v>848</v>
      </c>
      <c r="J22" t="s">
        <v>849</v>
      </c>
      <c r="L22" s="58">
        <v>18</v>
      </c>
      <c r="M22" s="62">
        <f t="shared" si="0"/>
        <v>25.44</v>
      </c>
      <c r="N22" s="42">
        <f t="shared" si="1"/>
        <v>3.0312996802725847E-4</v>
      </c>
      <c r="O22" s="19">
        <f t="shared" si="2"/>
        <v>2.728169712245326E-4</v>
      </c>
      <c r="P22" s="43">
        <f t="shared" si="3"/>
        <v>2.4801542838593873E-4</v>
      </c>
      <c r="Q22" s="60">
        <f t="shared" si="4"/>
        <v>0.61594202898550721</v>
      </c>
      <c r="R22" s="63">
        <f t="shared" si="5"/>
        <v>0.29481132075471694</v>
      </c>
      <c r="S22" s="28">
        <f t="shared" si="6"/>
        <v>0.47863485016648172</v>
      </c>
      <c r="T22" s="12">
        <f t="shared" si="7"/>
        <v>0.32644927536231888</v>
      </c>
      <c r="U22" s="12">
        <f t="shared" si="64"/>
        <v>0.64185948784764113</v>
      </c>
      <c r="V22" s="55">
        <f t="shared" si="8"/>
        <v>0.69077778160382497</v>
      </c>
      <c r="W22" s="54">
        <f t="shared" si="65"/>
        <v>0.3828537660149714</v>
      </c>
      <c r="X22" s="55">
        <f t="shared" si="66"/>
        <v>0.24426070356630405</v>
      </c>
      <c r="Y22" s="54">
        <f t="shared" si="9"/>
        <v>0.82113070823694267</v>
      </c>
      <c r="Z22" s="55">
        <f t="shared" si="67"/>
        <v>0.65134909227671689</v>
      </c>
      <c r="AA22" s="54">
        <f t="shared" si="10"/>
        <v>0</v>
      </c>
      <c r="AB22" s="55">
        <f t="shared" si="68"/>
        <v>0</v>
      </c>
      <c r="AC22" s="54">
        <f t="shared" si="11"/>
        <v>0</v>
      </c>
      <c r="AD22" s="55">
        <f t="shared" si="69"/>
        <v>0</v>
      </c>
      <c r="AE22" s="54">
        <f t="shared" si="12"/>
        <v>0</v>
      </c>
      <c r="AF22" s="55">
        <f t="shared" si="70"/>
        <v>0</v>
      </c>
      <c r="AG22" s="54">
        <f t="shared" si="13"/>
        <v>0</v>
      </c>
      <c r="AH22" s="55">
        <f t="shared" si="71"/>
        <v>0</v>
      </c>
      <c r="AI22" s="54">
        <f t="shared" si="72"/>
        <v>0</v>
      </c>
      <c r="AJ22" s="177">
        <f t="shared" si="73"/>
        <v>0</v>
      </c>
      <c r="AK22" s="54">
        <f t="shared" si="14"/>
        <v>0</v>
      </c>
      <c r="AL22" s="55">
        <f t="shared" si="15"/>
        <v>0</v>
      </c>
      <c r="AM22" s="179">
        <f t="shared" si="16"/>
        <v>5.6491330367695235E-2</v>
      </c>
      <c r="AN22" s="52">
        <f t="shared" si="17"/>
        <v>0</v>
      </c>
      <c r="AO22" s="74">
        <f t="shared" si="74"/>
        <v>0</v>
      </c>
      <c r="AP22" s="78">
        <v>0</v>
      </c>
      <c r="AQ22" s="87">
        <f t="shared" si="18"/>
        <v>0</v>
      </c>
      <c r="AR22" s="46">
        <f t="shared" si="19"/>
        <v>105.82058705854563</v>
      </c>
      <c r="AS22" s="69">
        <f t="shared" si="20"/>
        <v>7.9365440293909212E-2</v>
      </c>
      <c r="AT22" s="42">
        <f t="shared" si="21"/>
        <v>112.57805865302544</v>
      </c>
      <c r="AU22" s="79">
        <f t="shared" si="22"/>
        <v>8.4433543989769072E-2</v>
      </c>
      <c r="AV22" s="83">
        <f t="shared" si="75"/>
        <v>9.3484455948959887E-3</v>
      </c>
      <c r="AW22" s="84">
        <f t="shared" si="76"/>
        <v>6.4173880242832035E-3</v>
      </c>
      <c r="AX22" s="42">
        <f t="shared" si="23"/>
        <v>2.639489953632148E-2</v>
      </c>
      <c r="AY22" s="43">
        <f t="shared" si="77"/>
        <v>4.4792739983095534E-2</v>
      </c>
      <c r="AZ22" s="85">
        <f t="shared" si="24"/>
        <v>0</v>
      </c>
      <c r="BA22" s="86">
        <f t="shared" si="78"/>
        <v>0</v>
      </c>
      <c r="BB22" s="85">
        <f t="shared" si="25"/>
        <v>0</v>
      </c>
      <c r="BC22" s="86">
        <f t="shared" si="79"/>
        <v>0</v>
      </c>
      <c r="BD22" s="85">
        <f t="shared" si="26"/>
        <v>0</v>
      </c>
      <c r="BE22" s="86">
        <f t="shared" si="80"/>
        <v>0</v>
      </c>
      <c r="BF22" s="85">
        <f t="shared" si="27"/>
        <v>0</v>
      </c>
      <c r="BG22" s="86">
        <f t="shared" si="81"/>
        <v>0</v>
      </c>
      <c r="BH22" s="85">
        <f t="shared" si="28"/>
        <v>0</v>
      </c>
      <c r="BI22" s="86">
        <f t="shared" si="82"/>
        <v>0</v>
      </c>
      <c r="BJ22" s="85">
        <f t="shared" si="29"/>
        <v>0</v>
      </c>
      <c r="BK22" s="207">
        <f t="shared" si="30"/>
        <v>0</v>
      </c>
      <c r="BL22" s="85">
        <f t="shared" si="83"/>
        <v>8.6953473138596207E-2</v>
      </c>
      <c r="BM22" s="176">
        <f t="shared" si="84"/>
        <v>8.6953473138596207E-2</v>
      </c>
      <c r="BN22" s="176">
        <f t="shared" si="85"/>
        <v>8.6953473138596207E-2</v>
      </c>
      <c r="BO22" s="176">
        <f t="shared" si="86"/>
        <v>0.16631891343250543</v>
      </c>
      <c r="BP22" s="86">
        <f t="shared" si="87"/>
        <v>0.17138701712836529</v>
      </c>
      <c r="BQ22" s="211">
        <f t="shared" si="88"/>
        <v>6.0839600391598423E-3</v>
      </c>
      <c r="BR22" s="237">
        <f t="shared" si="31"/>
        <v>2.5000000000000001E-3</v>
      </c>
      <c r="BS22" s="237">
        <f t="shared" si="32"/>
        <v>0</v>
      </c>
      <c r="BT22" s="237">
        <f t="shared" si="33"/>
        <v>0</v>
      </c>
      <c r="BU22" s="237">
        <f t="shared" si="34"/>
        <v>0</v>
      </c>
      <c r="BV22" s="237">
        <f t="shared" si="35"/>
        <v>0</v>
      </c>
      <c r="BW22" s="237">
        <f t="shared" si="36"/>
        <v>0</v>
      </c>
      <c r="BX22" s="212">
        <f t="shared" si="37"/>
        <v>0</v>
      </c>
      <c r="BY22" s="238">
        <f t="shared" si="89"/>
        <v>8.5839600391598419E-3</v>
      </c>
      <c r="BZ22" s="244">
        <f t="shared" si="90"/>
        <v>3.3027211641153427E-4</v>
      </c>
      <c r="CA22" s="243">
        <f t="shared" si="38"/>
        <v>5.4794117647058833E-2</v>
      </c>
      <c r="CB22" s="243">
        <f t="shared" si="39"/>
        <v>0.1008</v>
      </c>
      <c r="CC22" s="238">
        <f t="shared" si="91"/>
        <v>0.15592438976347037</v>
      </c>
      <c r="CD22" s="244">
        <f t="shared" si="40"/>
        <v>0.15</v>
      </c>
      <c r="CE22" s="243">
        <f t="shared" si="41"/>
        <v>0.09</v>
      </c>
      <c r="CF22" s="243">
        <f t="shared" si="42"/>
        <v>0</v>
      </c>
      <c r="CG22" s="243">
        <f t="shared" si="43"/>
        <v>0</v>
      </c>
      <c r="CH22" s="243">
        <f t="shared" si="44"/>
        <v>0</v>
      </c>
      <c r="CI22" s="243">
        <f t="shared" si="45"/>
        <v>0</v>
      </c>
      <c r="CJ22" s="243">
        <f t="shared" si="46"/>
        <v>0</v>
      </c>
      <c r="CK22" s="243">
        <f t="shared" si="47"/>
        <v>0</v>
      </c>
      <c r="CL22" s="243">
        <f t="shared" si="48"/>
        <v>0</v>
      </c>
      <c r="CM22" s="243">
        <f t="shared" si="49"/>
        <v>0</v>
      </c>
      <c r="CN22" s="243">
        <f t="shared" si="50"/>
        <v>0</v>
      </c>
      <c r="CO22" s="243">
        <f t="shared" si="51"/>
        <v>0</v>
      </c>
      <c r="CP22" s="243">
        <f t="shared" si="52"/>
        <v>0</v>
      </c>
      <c r="CQ22" s="243">
        <f t="shared" si="53"/>
        <v>0</v>
      </c>
      <c r="CR22" s="238">
        <f t="shared" si="54"/>
        <v>0.24</v>
      </c>
      <c r="CS22" s="246">
        <f t="shared" si="55"/>
        <v>3.2565023612866624E-2</v>
      </c>
      <c r="CT22" s="188">
        <f t="shared" si="92"/>
        <v>0.43707337341549679</v>
      </c>
      <c r="CU22" s="206">
        <f t="shared" si="56"/>
        <v>7.9370733734154966</v>
      </c>
      <c r="CV22" s="227">
        <f t="shared" si="57"/>
        <v>0.94493267822376015</v>
      </c>
      <c r="CW22">
        <f t="shared" si="58"/>
        <v>65.44</v>
      </c>
      <c r="CX22">
        <f t="shared" si="59"/>
        <v>85.737379193877132</v>
      </c>
      <c r="DA22" s="22">
        <v>100</v>
      </c>
      <c r="DB22" s="22">
        <f t="shared" si="93"/>
        <v>628.31853071795865</v>
      </c>
      <c r="DC22" s="253">
        <f t="shared" si="94"/>
        <v>16.365586294285009</v>
      </c>
      <c r="DD22" s="93">
        <f t="shared" si="112"/>
        <v>-74.774970667399955</v>
      </c>
      <c r="DE22" s="253">
        <f t="shared" si="113"/>
        <v>26.780944066931166</v>
      </c>
      <c r="DF22" s="93">
        <f t="shared" si="114"/>
        <v>-73.391549167589162</v>
      </c>
      <c r="DG22" s="251">
        <f t="shared" si="115"/>
        <v>29.859081415459492</v>
      </c>
      <c r="DH22" s="93">
        <f t="shared" si="116"/>
        <v>-77.250434974412514</v>
      </c>
      <c r="DI22" s="91">
        <f t="shared" si="100"/>
        <v>13.702306602140036</v>
      </c>
      <c r="DJ22" s="251">
        <f t="shared" si="101"/>
        <v>144.78928014736908</v>
      </c>
      <c r="DK22" s="92">
        <f t="shared" si="60"/>
        <v>13.79993112098521</v>
      </c>
      <c r="DL22" s="93">
        <f t="shared" si="61"/>
        <v>143.8965168716382</v>
      </c>
      <c r="DM22" s="253">
        <f t="shared" si="102"/>
        <v>30.067892896425043</v>
      </c>
      <c r="DN22" s="262">
        <f t="shared" si="62"/>
        <v>70.014309479969185</v>
      </c>
      <c r="DO22" s="253">
        <f t="shared" si="103"/>
        <v>40.483250669071204</v>
      </c>
      <c r="DP22" s="259">
        <f t="shared" si="104"/>
        <v>71.397730979779922</v>
      </c>
      <c r="DQ22" s="251">
        <f t="shared" si="105"/>
        <v>43.561388017599526</v>
      </c>
      <c r="DR22" s="259">
        <f t="shared" si="106"/>
        <v>67.53884517295657</v>
      </c>
      <c r="DS22" s="253">
        <f t="shared" si="107"/>
        <v>30.165517415270219</v>
      </c>
      <c r="DT22" s="261">
        <f t="shared" si="63"/>
        <v>69.121546204238271</v>
      </c>
      <c r="DU22" s="253">
        <f t="shared" si="108"/>
        <v>40.580875187916376</v>
      </c>
      <c r="DV22" s="93">
        <f t="shared" si="109"/>
        <v>70.504967704049037</v>
      </c>
      <c r="DW22" s="251">
        <f t="shared" si="110"/>
        <v>43.659012536444706</v>
      </c>
      <c r="DX22" s="93">
        <f t="shared" si="111"/>
        <v>66.646081897225685</v>
      </c>
    </row>
    <row r="23" spans="1:128" ht="15.75" thickBot="1" x14ac:dyDescent="0.3">
      <c r="A23" s="12" t="s">
        <v>400</v>
      </c>
      <c r="B23" s="12">
        <f>IF(nAUX_Flyback_Calc&lt;&gt;0,nAux_Flyback/Np,0)</f>
        <v>0</v>
      </c>
      <c r="C23" s="12"/>
      <c r="E23" s="12"/>
      <c r="F23" s="12" t="s">
        <v>10</v>
      </c>
      <c r="G23" s="12" t="s">
        <v>699</v>
      </c>
      <c r="H23" s="12" t="s">
        <v>700</v>
      </c>
      <c r="I23" s="12"/>
      <c r="J23" s="12"/>
      <c r="L23" s="58">
        <v>19</v>
      </c>
      <c r="M23" s="62">
        <f t="shared" si="0"/>
        <v>26.520000000000003</v>
      </c>
      <c r="N23" s="42">
        <f t="shared" si="1"/>
        <v>3.1892908886848285E-4</v>
      </c>
      <c r="O23" s="19">
        <f t="shared" si="2"/>
        <v>2.8703617998163453E-4</v>
      </c>
      <c r="P23" s="43">
        <f t="shared" si="3"/>
        <v>2.6094198180148597E-4</v>
      </c>
      <c r="Q23" s="60">
        <f t="shared" si="4"/>
        <v>0.60606060606060608</v>
      </c>
      <c r="R23" s="63">
        <f t="shared" si="5"/>
        <v>0.28280542986425333</v>
      </c>
      <c r="S23" s="28">
        <f t="shared" si="6"/>
        <v>0.46662895927601805</v>
      </c>
      <c r="T23" s="12">
        <f t="shared" si="7"/>
        <v>0.33484848484848495</v>
      </c>
      <c r="U23" s="12">
        <f t="shared" si="64"/>
        <v>0.63405320170026047</v>
      </c>
      <c r="V23" s="55">
        <f t="shared" si="8"/>
        <v>0.67558170046319588</v>
      </c>
      <c r="W23" s="54">
        <f t="shared" si="65"/>
        <v>0.37098248858898303</v>
      </c>
      <c r="X23" s="55">
        <f t="shared" si="66"/>
        <v>0.24010226087850525</v>
      </c>
      <c r="Y23" s="54">
        <f t="shared" si="9"/>
        <v>0.81226456499790101</v>
      </c>
      <c r="Z23" s="55">
        <f t="shared" si="67"/>
        <v>0.64013570713656442</v>
      </c>
      <c r="AA23" s="54">
        <f t="shared" si="10"/>
        <v>0</v>
      </c>
      <c r="AB23" s="55">
        <f t="shared" si="68"/>
        <v>0</v>
      </c>
      <c r="AC23" s="54">
        <f t="shared" si="11"/>
        <v>0</v>
      </c>
      <c r="AD23" s="55">
        <f t="shared" si="69"/>
        <v>0</v>
      </c>
      <c r="AE23" s="54">
        <f t="shared" si="12"/>
        <v>0</v>
      </c>
      <c r="AF23" s="55">
        <f t="shared" si="70"/>
        <v>0</v>
      </c>
      <c r="AG23" s="54">
        <f t="shared" si="13"/>
        <v>0</v>
      </c>
      <c r="AH23" s="55">
        <f t="shared" si="71"/>
        <v>0</v>
      </c>
      <c r="AI23" s="54">
        <f t="shared" si="72"/>
        <v>0</v>
      </c>
      <c r="AJ23" s="177">
        <f t="shared" si="73"/>
        <v>0</v>
      </c>
      <c r="AK23" s="54">
        <f t="shared" si="14"/>
        <v>0</v>
      </c>
      <c r="AL23" s="55">
        <f t="shared" si="15"/>
        <v>0</v>
      </c>
      <c r="AM23" s="179">
        <f t="shared" si="16"/>
        <v>5.7944795128442118E-2</v>
      </c>
      <c r="AN23" s="52">
        <f t="shared" si="17"/>
        <v>0</v>
      </c>
      <c r="AO23" s="74">
        <f t="shared" si="74"/>
        <v>0</v>
      </c>
      <c r="AP23" s="78">
        <v>0</v>
      </c>
      <c r="AQ23" s="87">
        <f t="shared" si="18"/>
        <v>0</v>
      </c>
      <c r="AR23" s="46">
        <f t="shared" si="19"/>
        <v>113.21838621633442</v>
      </c>
      <c r="AS23" s="69">
        <f t="shared" si="20"/>
        <v>8.4913789662250827E-2</v>
      </c>
      <c r="AT23" s="42">
        <f t="shared" si="21"/>
        <v>119.83785395560486</v>
      </c>
      <c r="AU23" s="79">
        <f t="shared" si="22"/>
        <v>8.987839046670365E-2</v>
      </c>
      <c r="AV23" s="83">
        <f t="shared" si="75"/>
        <v>8.6025375978584645E-3</v>
      </c>
      <c r="AW23" s="84">
        <f t="shared" si="76"/>
        <v>6.2007409936400207E-3</v>
      </c>
      <c r="AX23" s="42">
        <f t="shared" si="23"/>
        <v>2.639489953632148E-2</v>
      </c>
      <c r="AY23" s="43">
        <f t="shared" si="77"/>
        <v>4.3263745063036284E-2</v>
      </c>
      <c r="AZ23" s="85">
        <f t="shared" si="24"/>
        <v>0</v>
      </c>
      <c r="BA23" s="86">
        <f t="shared" si="78"/>
        <v>0</v>
      </c>
      <c r="BB23" s="85">
        <f t="shared" si="25"/>
        <v>0</v>
      </c>
      <c r="BC23" s="86">
        <f t="shared" si="79"/>
        <v>0</v>
      </c>
      <c r="BD23" s="85">
        <f t="shared" si="26"/>
        <v>0</v>
      </c>
      <c r="BE23" s="86">
        <f t="shared" si="80"/>
        <v>0</v>
      </c>
      <c r="BF23" s="85">
        <f t="shared" si="27"/>
        <v>0</v>
      </c>
      <c r="BG23" s="86">
        <f t="shared" si="81"/>
        <v>0</v>
      </c>
      <c r="BH23" s="85">
        <f t="shared" si="28"/>
        <v>0</v>
      </c>
      <c r="BI23" s="86">
        <f t="shared" si="82"/>
        <v>0</v>
      </c>
      <c r="BJ23" s="85">
        <f t="shared" si="29"/>
        <v>0</v>
      </c>
      <c r="BK23" s="207">
        <f t="shared" si="30"/>
        <v>0</v>
      </c>
      <c r="BL23" s="85">
        <f t="shared" si="83"/>
        <v>8.4461923190856242E-2</v>
      </c>
      <c r="BM23" s="176">
        <f t="shared" si="84"/>
        <v>8.4461923190856242E-2</v>
      </c>
      <c r="BN23" s="176">
        <f t="shared" si="85"/>
        <v>8.4461923190856242E-2</v>
      </c>
      <c r="BO23" s="176">
        <f t="shared" si="86"/>
        <v>0.16937571285310707</v>
      </c>
      <c r="BP23" s="86">
        <f t="shared" si="87"/>
        <v>0.17434031365755989</v>
      </c>
      <c r="BQ23" s="211">
        <f t="shared" si="88"/>
        <v>5.5985237812493588E-3</v>
      </c>
      <c r="BR23" s="237">
        <f t="shared" si="31"/>
        <v>2.5000000000000001E-3</v>
      </c>
      <c r="BS23" s="237">
        <f t="shared" si="32"/>
        <v>0</v>
      </c>
      <c r="BT23" s="237">
        <f t="shared" si="33"/>
        <v>0</v>
      </c>
      <c r="BU23" s="237">
        <f t="shared" si="34"/>
        <v>0</v>
      </c>
      <c r="BV23" s="237">
        <f t="shared" si="35"/>
        <v>0</v>
      </c>
      <c r="BW23" s="237">
        <f t="shared" si="36"/>
        <v>0</v>
      </c>
      <c r="BX23" s="212">
        <f t="shared" si="37"/>
        <v>0</v>
      </c>
      <c r="BY23" s="238">
        <f t="shared" si="89"/>
        <v>8.0985237812493584E-3</v>
      </c>
      <c r="BZ23" s="244">
        <f t="shared" si="90"/>
        <v>3.0391986241067942E-4</v>
      </c>
      <c r="CA23" s="243">
        <f t="shared" si="38"/>
        <v>5.5687500000000008E-2</v>
      </c>
      <c r="CB23" s="243">
        <f t="shared" si="39"/>
        <v>0.1008</v>
      </c>
      <c r="CC23" s="238">
        <f t="shared" si="91"/>
        <v>0.15679141986241069</v>
      </c>
      <c r="CD23" s="244">
        <f t="shared" si="40"/>
        <v>0.15</v>
      </c>
      <c r="CE23" s="243">
        <f t="shared" si="41"/>
        <v>0.09</v>
      </c>
      <c r="CF23" s="243">
        <f t="shared" si="42"/>
        <v>0</v>
      </c>
      <c r="CG23" s="243">
        <f t="shared" si="43"/>
        <v>0</v>
      </c>
      <c r="CH23" s="243">
        <f t="shared" si="44"/>
        <v>0</v>
      </c>
      <c r="CI23" s="243">
        <f t="shared" si="45"/>
        <v>0</v>
      </c>
      <c r="CJ23" s="243">
        <f t="shared" si="46"/>
        <v>0</v>
      </c>
      <c r="CK23" s="243">
        <f t="shared" si="47"/>
        <v>0</v>
      </c>
      <c r="CL23" s="243">
        <f t="shared" si="48"/>
        <v>0</v>
      </c>
      <c r="CM23" s="243">
        <f t="shared" si="49"/>
        <v>0</v>
      </c>
      <c r="CN23" s="243">
        <f t="shared" si="50"/>
        <v>0</v>
      </c>
      <c r="CO23" s="243">
        <f t="shared" si="51"/>
        <v>0</v>
      </c>
      <c r="CP23" s="243">
        <f t="shared" si="52"/>
        <v>0</v>
      </c>
      <c r="CQ23" s="243">
        <f t="shared" si="53"/>
        <v>0</v>
      </c>
      <c r="CR23" s="238">
        <f t="shared" si="54"/>
        <v>0.24</v>
      </c>
      <c r="CS23" s="246">
        <f t="shared" si="55"/>
        <v>3.1408684990275298E-2</v>
      </c>
      <c r="CT23" s="188">
        <f t="shared" si="92"/>
        <v>0.43629862863393531</v>
      </c>
      <c r="CU23" s="206">
        <f t="shared" si="56"/>
        <v>7.936298628633935</v>
      </c>
      <c r="CV23" s="227">
        <f t="shared" si="57"/>
        <v>0.94502492294584506</v>
      </c>
      <c r="CW23">
        <f t="shared" si="58"/>
        <v>66.52000000000001</v>
      </c>
      <c r="CX23">
        <f t="shared" si="59"/>
        <v>86.570522750949706</v>
      </c>
      <c r="DA23" s="22">
        <v>200</v>
      </c>
      <c r="DB23" s="22">
        <f t="shared" si="93"/>
        <v>1256.6370614359173</v>
      </c>
      <c r="DC23" s="253">
        <f t="shared" si="94"/>
        <v>10.632190058395077</v>
      </c>
      <c r="DD23" s="93">
        <f t="shared" si="112"/>
        <v>-84.486370620771254</v>
      </c>
      <c r="DE23" s="253">
        <f t="shared" si="113"/>
        <v>21.039620529979981</v>
      </c>
      <c r="DF23" s="93">
        <f t="shared" si="114"/>
        <v>-81.721319858018703</v>
      </c>
      <c r="DG23" s="251">
        <f t="shared" si="115"/>
        <v>23.999557163933734</v>
      </c>
      <c r="DH23" s="93">
        <f t="shared" si="116"/>
        <v>-83.510137814983153</v>
      </c>
      <c r="DI23" s="91">
        <f t="shared" si="100"/>
        <v>12.471847802971254</v>
      </c>
      <c r="DJ23" s="251">
        <f t="shared" si="101"/>
        <v>160.27777128827415</v>
      </c>
      <c r="DK23" s="92">
        <f t="shared" si="60"/>
        <v>12.505737436726672</v>
      </c>
      <c r="DL23" s="93">
        <f t="shared" si="61"/>
        <v>159.67351186432839</v>
      </c>
      <c r="DM23" s="253">
        <f t="shared" si="102"/>
        <v>23.104037861366329</v>
      </c>
      <c r="DN23" s="262">
        <f t="shared" si="62"/>
        <v>75.791400667502884</v>
      </c>
      <c r="DO23" s="253">
        <f t="shared" si="103"/>
        <v>33.511468332951239</v>
      </c>
      <c r="DP23" s="259">
        <f t="shared" si="104"/>
        <v>78.55645143025545</v>
      </c>
      <c r="DQ23" s="251">
        <f t="shared" si="105"/>
        <v>36.471404966904984</v>
      </c>
      <c r="DR23" s="259">
        <f t="shared" si="106"/>
        <v>76.767633473290999</v>
      </c>
      <c r="DS23" s="253">
        <f t="shared" si="107"/>
        <v>23.137927495121751</v>
      </c>
      <c r="DT23" s="261">
        <f t="shared" si="63"/>
        <v>75.187141243557107</v>
      </c>
      <c r="DU23" s="253">
        <f t="shared" si="108"/>
        <v>33.545357966706653</v>
      </c>
      <c r="DV23" s="93">
        <f t="shared" si="109"/>
        <v>77.952192006309687</v>
      </c>
      <c r="DW23" s="251">
        <f t="shared" si="110"/>
        <v>36.505294600660406</v>
      </c>
      <c r="DX23" s="93">
        <f t="shared" si="111"/>
        <v>76.163374049345236</v>
      </c>
    </row>
    <row r="24" spans="1:128" ht="15.75" thickBot="1" x14ac:dyDescent="0.3">
      <c r="A24" s="524" t="s">
        <v>23</v>
      </c>
      <c r="B24" s="524"/>
      <c r="C24" s="12"/>
      <c r="E24" s="12" t="s">
        <v>277</v>
      </c>
      <c r="F24" s="258">
        <f>IF(AND(VinMax&lt;=Parts!E8,VinMin&gt;=Parts!D8),1,0)</f>
        <v>0</v>
      </c>
      <c r="G24" s="258">
        <f>IF(AND(Fsw_Input&gt;Parts!I8,Fsw_Input&lt;Parts!J8),1,0)</f>
        <v>1</v>
      </c>
      <c r="H24" s="258">
        <f>1</f>
        <v>1</v>
      </c>
      <c r="I24" s="12">
        <f>PRODUCT(F24:H24)</f>
        <v>0</v>
      </c>
      <c r="J24" s="12"/>
      <c r="L24" s="58">
        <v>20</v>
      </c>
      <c r="M24" s="62">
        <f t="shared" si="0"/>
        <v>27.6</v>
      </c>
      <c r="N24" s="42">
        <f t="shared" si="1"/>
        <v>3.3461181218152588E-4</v>
      </c>
      <c r="O24" s="19">
        <f t="shared" si="2"/>
        <v>3.0115063096337337E-4</v>
      </c>
      <c r="P24" s="43">
        <f t="shared" si="3"/>
        <v>2.7377330087579389E-4</v>
      </c>
      <c r="Q24" s="60">
        <f t="shared" si="4"/>
        <v>0.59649122807017541</v>
      </c>
      <c r="R24" s="63">
        <f t="shared" si="5"/>
        <v>0.27173913043478259</v>
      </c>
      <c r="S24" s="28">
        <f t="shared" si="6"/>
        <v>0.45556265984654731</v>
      </c>
      <c r="T24" s="12">
        <f t="shared" si="7"/>
        <v>0.34298245614035094</v>
      </c>
      <c r="U24" s="12">
        <f t="shared" si="64"/>
        <v>0.62705388791672279</v>
      </c>
      <c r="V24" s="55">
        <f t="shared" si="8"/>
        <v>0.66160118584673688</v>
      </c>
      <c r="W24" s="54">
        <f t="shared" si="65"/>
        <v>0.36005784609254754</v>
      </c>
      <c r="X24" s="55">
        <f t="shared" si="66"/>
        <v>0.23621917264132661</v>
      </c>
      <c r="Y24" s="54">
        <f t="shared" si="9"/>
        <v>0.80411557267783829</v>
      </c>
      <c r="Z24" s="55">
        <f t="shared" si="67"/>
        <v>0.62976333191367051</v>
      </c>
      <c r="AA24" s="54">
        <f t="shared" si="10"/>
        <v>0</v>
      </c>
      <c r="AB24" s="55">
        <f t="shared" si="68"/>
        <v>0</v>
      </c>
      <c r="AC24" s="54">
        <f t="shared" si="11"/>
        <v>0</v>
      </c>
      <c r="AD24" s="55">
        <f t="shared" si="69"/>
        <v>0</v>
      </c>
      <c r="AE24" s="54">
        <f t="shared" si="12"/>
        <v>0</v>
      </c>
      <c r="AF24" s="55">
        <f t="shared" si="70"/>
        <v>0</v>
      </c>
      <c r="AG24" s="54">
        <f t="shared" si="13"/>
        <v>0</v>
      </c>
      <c r="AH24" s="55">
        <f t="shared" si="71"/>
        <v>0</v>
      </c>
      <c r="AI24" s="54">
        <f t="shared" si="72"/>
        <v>0</v>
      </c>
      <c r="AJ24" s="177">
        <f t="shared" si="73"/>
        <v>0</v>
      </c>
      <c r="AK24" s="54">
        <f t="shared" si="14"/>
        <v>0</v>
      </c>
      <c r="AL24" s="55">
        <f t="shared" si="15"/>
        <v>0</v>
      </c>
      <c r="AM24" s="179">
        <f t="shared" si="16"/>
        <v>5.9352361002007505E-2</v>
      </c>
      <c r="AN24" s="52">
        <f t="shared" si="17"/>
        <v>0</v>
      </c>
      <c r="AO24" s="74">
        <f t="shared" si="74"/>
        <v>0</v>
      </c>
      <c r="AP24" s="78">
        <v>0</v>
      </c>
      <c r="AQ24" s="87">
        <f t="shared" si="18"/>
        <v>0</v>
      </c>
      <c r="AR24" s="46">
        <f t="shared" si="19"/>
        <v>120.68232012905629</v>
      </c>
      <c r="AS24" s="69">
        <f t="shared" si="20"/>
        <v>9.051174009679222E-2</v>
      </c>
      <c r="AT24" s="42">
        <f t="shared" si="21"/>
        <v>127.12647361924985</v>
      </c>
      <c r="AU24" s="79">
        <f t="shared" si="22"/>
        <v>9.5344855214437391E-2</v>
      </c>
      <c r="AV24" s="83">
        <f t="shared" si="75"/>
        <v>7.9424676524953771E-3</v>
      </c>
      <c r="AW24" s="84">
        <f t="shared" si="76"/>
        <v>6.0017980792678415E-3</v>
      </c>
      <c r="AX24" s="42">
        <f t="shared" si="23"/>
        <v>2.639489953632148E-2</v>
      </c>
      <c r="AY24" s="43">
        <f t="shared" si="77"/>
        <v>4.1873064392540446E-2</v>
      </c>
      <c r="AZ24" s="85">
        <f t="shared" si="24"/>
        <v>0</v>
      </c>
      <c r="BA24" s="86">
        <f t="shared" si="78"/>
        <v>0</v>
      </c>
      <c r="BB24" s="85">
        <f t="shared" si="25"/>
        <v>0</v>
      </c>
      <c r="BC24" s="86">
        <f t="shared" si="79"/>
        <v>0</v>
      </c>
      <c r="BD24" s="85">
        <f t="shared" si="26"/>
        <v>0</v>
      </c>
      <c r="BE24" s="86">
        <f t="shared" si="80"/>
        <v>0</v>
      </c>
      <c r="BF24" s="85">
        <f t="shared" si="27"/>
        <v>0</v>
      </c>
      <c r="BG24" s="86">
        <f t="shared" si="81"/>
        <v>0</v>
      </c>
      <c r="BH24" s="85">
        <f t="shared" si="28"/>
        <v>0</v>
      </c>
      <c r="BI24" s="86">
        <f t="shared" si="82"/>
        <v>0</v>
      </c>
      <c r="BJ24" s="85">
        <f t="shared" si="29"/>
        <v>0</v>
      </c>
      <c r="BK24" s="207">
        <f t="shared" si="30"/>
        <v>0</v>
      </c>
      <c r="BL24" s="85">
        <f t="shared" si="83"/>
        <v>8.2212229660625136E-2</v>
      </c>
      <c r="BM24" s="176">
        <f t="shared" si="84"/>
        <v>8.2212229660625136E-2</v>
      </c>
      <c r="BN24" s="176">
        <f t="shared" si="85"/>
        <v>8.2212229660625136E-2</v>
      </c>
      <c r="BO24" s="176">
        <f t="shared" si="86"/>
        <v>0.17272396975741736</v>
      </c>
      <c r="BP24" s="86">
        <f t="shared" si="87"/>
        <v>0.17755708487506253</v>
      </c>
      <c r="BQ24" s="211">
        <f t="shared" si="88"/>
        <v>5.1689508506616256E-3</v>
      </c>
      <c r="BR24" s="237">
        <f t="shared" si="31"/>
        <v>2.5000000000000001E-3</v>
      </c>
      <c r="BS24" s="237">
        <f t="shared" si="32"/>
        <v>0</v>
      </c>
      <c r="BT24" s="237">
        <f t="shared" si="33"/>
        <v>0</v>
      </c>
      <c r="BU24" s="237">
        <f t="shared" si="34"/>
        <v>0</v>
      </c>
      <c r="BV24" s="237">
        <f t="shared" si="35"/>
        <v>0</v>
      </c>
      <c r="BW24" s="237">
        <f t="shared" si="36"/>
        <v>0</v>
      </c>
      <c r="BX24" s="212">
        <f t="shared" si="37"/>
        <v>0</v>
      </c>
      <c r="BY24" s="238">
        <f t="shared" si="89"/>
        <v>7.6689508506616252E-3</v>
      </c>
      <c r="BZ24" s="244">
        <f t="shared" si="90"/>
        <v>2.8060018903591679E-4</v>
      </c>
      <c r="CA24" s="243">
        <f t="shared" si="38"/>
        <v>5.6580882352941189E-2</v>
      </c>
      <c r="CB24" s="243">
        <f t="shared" si="39"/>
        <v>0.1008</v>
      </c>
      <c r="CC24" s="238">
        <f t="shared" si="91"/>
        <v>0.15766148254197709</v>
      </c>
      <c r="CD24" s="244">
        <f t="shared" si="40"/>
        <v>0.15</v>
      </c>
      <c r="CE24" s="243">
        <f t="shared" si="41"/>
        <v>0.09</v>
      </c>
      <c r="CF24" s="243">
        <f t="shared" si="42"/>
        <v>0</v>
      </c>
      <c r="CG24" s="243">
        <f t="shared" si="43"/>
        <v>0</v>
      </c>
      <c r="CH24" s="243">
        <f t="shared" si="44"/>
        <v>0</v>
      </c>
      <c r="CI24" s="243">
        <f t="shared" si="45"/>
        <v>0</v>
      </c>
      <c r="CJ24" s="243">
        <f t="shared" si="46"/>
        <v>0</v>
      </c>
      <c r="CK24" s="243">
        <f t="shared" si="47"/>
        <v>0</v>
      </c>
      <c r="CL24" s="243">
        <f t="shared" si="48"/>
        <v>0</v>
      </c>
      <c r="CM24" s="243">
        <f t="shared" si="49"/>
        <v>0</v>
      </c>
      <c r="CN24" s="243">
        <f t="shared" si="50"/>
        <v>0</v>
      </c>
      <c r="CO24" s="243">
        <f t="shared" si="51"/>
        <v>0</v>
      </c>
      <c r="CP24" s="243">
        <f t="shared" si="52"/>
        <v>0</v>
      </c>
      <c r="CQ24" s="243">
        <f t="shared" si="53"/>
        <v>0</v>
      </c>
      <c r="CR24" s="238">
        <f t="shared" si="54"/>
        <v>0.24</v>
      </c>
      <c r="CS24" s="246">
        <f t="shared" si="55"/>
        <v>3.0348667940720865E-2</v>
      </c>
      <c r="CT24" s="188">
        <f t="shared" si="92"/>
        <v>0.43567910133335963</v>
      </c>
      <c r="CU24" s="206">
        <f t="shared" si="56"/>
        <v>7.9356791013333599</v>
      </c>
      <c r="CV24" s="227">
        <f t="shared" si="57"/>
        <v>0.94509869971176674</v>
      </c>
      <c r="CW24">
        <f t="shared" si="58"/>
        <v>67.599999999999994</v>
      </c>
      <c r="CX24">
        <f t="shared" si="59"/>
        <v>87.429185014807786</v>
      </c>
      <c r="DA24" s="22">
        <v>300</v>
      </c>
      <c r="DB24" s="22">
        <f t="shared" si="93"/>
        <v>1884.9555921538758</v>
      </c>
      <c r="DC24" s="253">
        <f t="shared" si="94"/>
        <v>7.1773486966161268</v>
      </c>
      <c r="DD24" s="93">
        <f t="shared" si="112"/>
        <v>-88.831778102647505</v>
      </c>
      <c r="DE24" s="253">
        <f t="shared" si="113"/>
        <v>17.571600669848994</v>
      </c>
      <c r="DF24" s="93">
        <f t="shared" si="114"/>
        <v>-84.688669217647558</v>
      </c>
      <c r="DG24" s="251">
        <f t="shared" si="115"/>
        <v>20.50832958599408</v>
      </c>
      <c r="DH24" s="93">
        <f t="shared" si="116"/>
        <v>-85.623769002270592</v>
      </c>
      <c r="DI24" s="91">
        <f t="shared" si="100"/>
        <v>12.199843808527751</v>
      </c>
      <c r="DJ24" s="251">
        <f t="shared" si="101"/>
        <v>166.21976445674164</v>
      </c>
      <c r="DK24" s="92">
        <f t="shared" si="60"/>
        <v>12.216885105748874</v>
      </c>
      <c r="DL24" s="93">
        <f t="shared" si="61"/>
        <v>165.78138357248719</v>
      </c>
      <c r="DM24" s="253">
        <f t="shared" si="102"/>
        <v>19.377192505143878</v>
      </c>
      <c r="DN24" s="262">
        <f t="shared" si="62"/>
        <v>77.387986354094139</v>
      </c>
      <c r="DO24" s="253">
        <f t="shared" si="103"/>
        <v>29.771444478376743</v>
      </c>
      <c r="DP24" s="259">
        <f t="shared" si="104"/>
        <v>81.531095239094086</v>
      </c>
      <c r="DQ24" s="251">
        <f t="shared" si="105"/>
        <v>32.708173394521829</v>
      </c>
      <c r="DR24" s="259">
        <f t="shared" si="106"/>
        <v>80.595995454471051</v>
      </c>
      <c r="DS24" s="253">
        <f t="shared" si="107"/>
        <v>19.394233802365001</v>
      </c>
      <c r="DT24" s="261">
        <f t="shared" si="63"/>
        <v>76.949605469839824</v>
      </c>
      <c r="DU24" s="253">
        <f t="shared" si="108"/>
        <v>29.78848577559787</v>
      </c>
      <c r="DV24" s="93">
        <f t="shared" si="109"/>
        <v>81.092714354839629</v>
      </c>
      <c r="DW24" s="251">
        <f t="shared" si="110"/>
        <v>32.725214691742956</v>
      </c>
      <c r="DX24" s="93">
        <f t="shared" si="111"/>
        <v>80.157614570216595</v>
      </c>
    </row>
    <row r="25" spans="1:128" ht="15.75" thickBot="1" x14ac:dyDescent="0.3">
      <c r="A25" s="12" t="s">
        <v>57</v>
      </c>
      <c r="B25" s="19">
        <f>((VinMin^2)*(D_spec^2)*eff)/(2*Fsw*Pout_Flyback)</f>
        <v>1.9999999999999999E-6</v>
      </c>
      <c r="C25" s="12" t="s">
        <v>311</v>
      </c>
      <c r="E25" s="12" t="s">
        <v>424</v>
      </c>
      <c r="F25" s="258">
        <f>IF(AND(VinMax&lt;=Parts!E9,VinMin&gt;=Parts!D9),1,0)</f>
        <v>0</v>
      </c>
      <c r="G25" s="258">
        <f>IF(AND(Fsw_Input&gt;Parts!I9,Fsw_Input&lt;Parts!J9),1,0)</f>
        <v>1</v>
      </c>
      <c r="H25" s="258">
        <f>1</f>
        <v>1</v>
      </c>
      <c r="I25" s="12">
        <f>PRODUCT(F25:H25)</f>
        <v>0</v>
      </c>
      <c r="J25" s="12"/>
      <c r="L25" s="58">
        <v>21</v>
      </c>
      <c r="M25" s="62">
        <f t="shared" si="0"/>
        <v>28.68</v>
      </c>
      <c r="N25" s="42">
        <f t="shared" si="1"/>
        <v>3.5016600528508683E-4</v>
      </c>
      <c r="O25" s="19">
        <f t="shared" si="2"/>
        <v>3.1514940475657811E-4</v>
      </c>
      <c r="P25" s="43">
        <f t="shared" si="3"/>
        <v>2.8649945886961641E-4</v>
      </c>
      <c r="Q25" s="60">
        <f t="shared" si="4"/>
        <v>0.58721934369602768</v>
      </c>
      <c r="R25" s="63">
        <f t="shared" si="5"/>
        <v>0.2615062761506276</v>
      </c>
      <c r="S25" s="28">
        <f t="shared" si="6"/>
        <v>0.44532980556239232</v>
      </c>
      <c r="T25" s="12">
        <f t="shared" si="7"/>
        <v>0.35086355785837658</v>
      </c>
      <c r="U25" s="12">
        <f t="shared" si="64"/>
        <v>0.62076158449158059</v>
      </c>
      <c r="V25" s="55">
        <f t="shared" si="8"/>
        <v>0.64870223931742266</v>
      </c>
      <c r="W25" s="54">
        <f t="shared" si="65"/>
        <v>0.34997240907491078</v>
      </c>
      <c r="X25" s="55">
        <f t="shared" si="66"/>
        <v>0.2325836508603483</v>
      </c>
      <c r="Y25" s="54">
        <f t="shared" si="9"/>
        <v>0.79661288064669844</v>
      </c>
      <c r="Z25" s="55">
        <f t="shared" si="67"/>
        <v>0.6201548851796872</v>
      </c>
      <c r="AA25" s="54">
        <f t="shared" si="10"/>
        <v>0</v>
      </c>
      <c r="AB25" s="55">
        <f t="shared" si="68"/>
        <v>0</v>
      </c>
      <c r="AC25" s="54">
        <f t="shared" si="11"/>
        <v>0</v>
      </c>
      <c r="AD25" s="55">
        <f t="shared" si="69"/>
        <v>0</v>
      </c>
      <c r="AE25" s="54">
        <f t="shared" si="12"/>
        <v>0</v>
      </c>
      <c r="AF25" s="55">
        <f t="shared" si="70"/>
        <v>0</v>
      </c>
      <c r="AG25" s="54">
        <f t="shared" si="13"/>
        <v>0</v>
      </c>
      <c r="AH25" s="55">
        <f t="shared" si="71"/>
        <v>0</v>
      </c>
      <c r="AI25" s="54">
        <f t="shared" si="72"/>
        <v>0</v>
      </c>
      <c r="AJ25" s="177">
        <f t="shared" si="73"/>
        <v>0</v>
      </c>
      <c r="AK25" s="54">
        <f t="shared" si="14"/>
        <v>0</v>
      </c>
      <c r="AL25" s="55">
        <f t="shared" si="15"/>
        <v>0</v>
      </c>
      <c r="AM25" s="179">
        <f t="shared" si="16"/>
        <v>6.0716168351006107E-2</v>
      </c>
      <c r="AN25" s="52">
        <f t="shared" si="17"/>
        <v>0</v>
      </c>
      <c r="AO25" s="74">
        <f t="shared" si="74"/>
        <v>0</v>
      </c>
      <c r="AP25" s="78">
        <v>0</v>
      </c>
      <c r="AQ25" s="87">
        <f t="shared" si="18"/>
        <v>0</v>
      </c>
      <c r="AR25" s="46">
        <f t="shared" si="19"/>
        <v>128.20003986328388</v>
      </c>
      <c r="AS25" s="69">
        <f t="shared" si="20"/>
        <v>9.6150029897462894E-2</v>
      </c>
      <c r="AT25" s="42">
        <f t="shared" si="21"/>
        <v>134.43341716482962</v>
      </c>
      <c r="AU25" s="79">
        <f t="shared" si="22"/>
        <v>0.10082506287362221</v>
      </c>
      <c r="AV25" s="83">
        <f t="shared" si="75"/>
        <v>7.3555529282926654E-3</v>
      </c>
      <c r="AW25" s="84">
        <f t="shared" si="76"/>
        <v>5.8184788335299007E-3</v>
      </c>
      <c r="AX25" s="42">
        <f t="shared" si="23"/>
        <v>2.639489953632148E-2</v>
      </c>
      <c r="AY25" s="43">
        <f t="shared" si="77"/>
        <v>4.0605077426478356E-2</v>
      </c>
      <c r="AZ25" s="85">
        <f t="shared" si="24"/>
        <v>0</v>
      </c>
      <c r="BA25" s="86">
        <f t="shared" si="78"/>
        <v>0</v>
      </c>
      <c r="BB25" s="85">
        <f t="shared" si="25"/>
        <v>0</v>
      </c>
      <c r="BC25" s="86">
        <f t="shared" si="79"/>
        <v>0</v>
      </c>
      <c r="BD25" s="85">
        <f t="shared" si="26"/>
        <v>0</v>
      </c>
      <c r="BE25" s="86">
        <f t="shared" si="80"/>
        <v>0</v>
      </c>
      <c r="BF25" s="85">
        <f t="shared" si="27"/>
        <v>0</v>
      </c>
      <c r="BG25" s="86">
        <f t="shared" si="81"/>
        <v>0</v>
      </c>
      <c r="BH25" s="85">
        <f t="shared" si="28"/>
        <v>0</v>
      </c>
      <c r="BI25" s="86">
        <f t="shared" si="82"/>
        <v>0</v>
      </c>
      <c r="BJ25" s="85">
        <f t="shared" si="29"/>
        <v>0</v>
      </c>
      <c r="BK25" s="207">
        <f t="shared" si="30"/>
        <v>0</v>
      </c>
      <c r="BL25" s="85">
        <f t="shared" si="83"/>
        <v>8.0174008724622409E-2</v>
      </c>
      <c r="BM25" s="176">
        <f t="shared" si="84"/>
        <v>8.0174008724622409E-2</v>
      </c>
      <c r="BN25" s="176">
        <f t="shared" si="85"/>
        <v>8.0174008724622409E-2</v>
      </c>
      <c r="BO25" s="176">
        <f t="shared" si="86"/>
        <v>0.17632403862208529</v>
      </c>
      <c r="BP25" s="86">
        <f t="shared" si="87"/>
        <v>0.18099907159824463</v>
      </c>
      <c r="BQ25" s="211">
        <f t="shared" si="88"/>
        <v>4.7869872726317812E-3</v>
      </c>
      <c r="BR25" s="237">
        <f t="shared" si="31"/>
        <v>2.5000000000000001E-3</v>
      </c>
      <c r="BS25" s="237">
        <f t="shared" si="32"/>
        <v>0</v>
      </c>
      <c r="BT25" s="237">
        <f t="shared" si="33"/>
        <v>0</v>
      </c>
      <c r="BU25" s="237">
        <f t="shared" si="34"/>
        <v>0</v>
      </c>
      <c r="BV25" s="237">
        <f t="shared" si="35"/>
        <v>0</v>
      </c>
      <c r="BW25" s="237">
        <f t="shared" si="36"/>
        <v>0</v>
      </c>
      <c r="BX25" s="212">
        <f t="shared" si="37"/>
        <v>0</v>
      </c>
      <c r="BY25" s="238">
        <f t="shared" si="89"/>
        <v>7.2869872726317817E-3</v>
      </c>
      <c r="BZ25" s="244">
        <f t="shared" si="90"/>
        <v>2.5986502337143952E-4</v>
      </c>
      <c r="CA25" s="243">
        <f t="shared" si="38"/>
        <v>5.7474264705882357E-2</v>
      </c>
      <c r="CB25" s="243">
        <f t="shared" si="39"/>
        <v>0.1008</v>
      </c>
      <c r="CC25" s="238">
        <f t="shared" si="91"/>
        <v>0.15853412972925379</v>
      </c>
      <c r="CD25" s="244">
        <f t="shared" si="40"/>
        <v>0.15</v>
      </c>
      <c r="CE25" s="243">
        <f t="shared" si="41"/>
        <v>0.09</v>
      </c>
      <c r="CF25" s="243">
        <f t="shared" si="42"/>
        <v>0</v>
      </c>
      <c r="CG25" s="243">
        <f t="shared" si="43"/>
        <v>0</v>
      </c>
      <c r="CH25" s="243">
        <f t="shared" si="44"/>
        <v>0</v>
      </c>
      <c r="CI25" s="243">
        <f t="shared" si="45"/>
        <v>0</v>
      </c>
      <c r="CJ25" s="243">
        <f t="shared" si="46"/>
        <v>0</v>
      </c>
      <c r="CK25" s="243">
        <f t="shared" si="47"/>
        <v>0</v>
      </c>
      <c r="CL25" s="243">
        <f t="shared" si="48"/>
        <v>0</v>
      </c>
      <c r="CM25" s="243">
        <f t="shared" si="49"/>
        <v>0</v>
      </c>
      <c r="CN25" s="243">
        <f t="shared" si="50"/>
        <v>0</v>
      </c>
      <c r="CO25" s="243">
        <f t="shared" si="51"/>
        <v>0</v>
      </c>
      <c r="CP25" s="243">
        <f t="shared" si="52"/>
        <v>0</v>
      </c>
      <c r="CQ25" s="243">
        <f t="shared" si="53"/>
        <v>0</v>
      </c>
      <c r="CR25" s="238">
        <f t="shared" si="54"/>
        <v>0.24</v>
      </c>
      <c r="CS25" s="246">
        <f t="shared" si="55"/>
        <v>2.9369994684573599E-2</v>
      </c>
      <c r="CT25" s="188">
        <f t="shared" si="92"/>
        <v>0.43519111168645913</v>
      </c>
      <c r="CU25" s="206">
        <f t="shared" si="56"/>
        <v>7.9351911116864589</v>
      </c>
      <c r="CV25" s="227">
        <f t="shared" si="57"/>
        <v>0.94515682035111459</v>
      </c>
      <c r="CW25">
        <f t="shared" si="58"/>
        <v>68.680000000000007</v>
      </c>
      <c r="CX25">
        <f t="shared" si="59"/>
        <v>88.310204909284522</v>
      </c>
      <c r="DA25" s="22">
        <v>400</v>
      </c>
      <c r="DB25" s="22">
        <f t="shared" si="93"/>
        <v>2513.2741228718346</v>
      </c>
      <c r="DC25" s="253">
        <f t="shared" si="94"/>
        <v>4.7160118548867995</v>
      </c>
      <c r="DD25" s="93">
        <f t="shared" si="112"/>
        <v>-91.769061157694168</v>
      </c>
      <c r="DE25" s="253">
        <f t="shared" si="113"/>
        <v>15.09188419907078</v>
      </c>
      <c r="DF25" s="93">
        <f t="shared" si="114"/>
        <v>-86.253217776657948</v>
      </c>
      <c r="DG25" s="251">
        <f t="shared" si="115"/>
        <v>18.020435795015999</v>
      </c>
      <c r="DH25" s="93">
        <f t="shared" si="116"/>
        <v>-86.673612650018171</v>
      </c>
      <c r="DI25" s="91">
        <f t="shared" si="100"/>
        <v>12.100158722803746</v>
      </c>
      <c r="DJ25" s="251">
        <f t="shared" si="101"/>
        <v>169.2132046426311</v>
      </c>
      <c r="DK25" s="92">
        <f t="shared" si="60"/>
        <v>12.110743883858818</v>
      </c>
      <c r="DL25" s="93">
        <f t="shared" si="61"/>
        <v>168.86721202127003</v>
      </c>
      <c r="DM25" s="253">
        <f t="shared" si="102"/>
        <v>16.816170577690546</v>
      </c>
      <c r="DN25" s="262">
        <f t="shared" si="62"/>
        <v>77.444143484936902</v>
      </c>
      <c r="DO25" s="253">
        <f t="shared" si="103"/>
        <v>27.192042921874524</v>
      </c>
      <c r="DP25" s="259">
        <f t="shared" si="104"/>
        <v>82.95998686597315</v>
      </c>
      <c r="DQ25" s="251">
        <f t="shared" si="105"/>
        <v>30.120594517819747</v>
      </c>
      <c r="DR25" s="259">
        <f t="shared" si="106"/>
        <v>82.539591992612927</v>
      </c>
      <c r="DS25" s="253">
        <f t="shared" si="107"/>
        <v>16.826755738745618</v>
      </c>
      <c r="DT25" s="261">
        <f t="shared" si="63"/>
        <v>77.098150863575839</v>
      </c>
      <c r="DU25" s="253">
        <f t="shared" si="108"/>
        <v>27.2026280829296</v>
      </c>
      <c r="DV25" s="93">
        <f t="shared" si="109"/>
        <v>82.613994244612087</v>
      </c>
      <c r="DW25" s="251">
        <f t="shared" si="110"/>
        <v>30.131179678874815</v>
      </c>
      <c r="DX25" s="93">
        <f t="shared" si="111"/>
        <v>82.193599371251864</v>
      </c>
    </row>
    <row r="26" spans="1:128" ht="15.75" thickBot="1" x14ac:dyDescent="0.3">
      <c r="A26" s="12" t="s">
        <v>58</v>
      </c>
      <c r="B26" s="19">
        <f>Lm_Flyback_CCM</f>
        <v>1.5999999999999999E-4</v>
      </c>
      <c r="C26" s="12" t="s">
        <v>311</v>
      </c>
      <c r="E26" s="12" t="s">
        <v>425</v>
      </c>
      <c r="F26" s="258">
        <f>IF(AND(VinMax&lt;=Parts!E10,VinMin&gt;=Parts!D10),1,0)</f>
        <v>1</v>
      </c>
      <c r="G26" s="258">
        <f>IF(AND(Fsw_Input&gt;Parts!I10,Fsw_Input&lt;Parts!J10),1,0)</f>
        <v>1</v>
      </c>
      <c r="H26" s="258">
        <f>1</f>
        <v>1</v>
      </c>
      <c r="I26" s="12">
        <f>PRODUCT(F26:H26)</f>
        <v>1</v>
      </c>
      <c r="J26" s="12"/>
      <c r="L26" s="58">
        <v>22</v>
      </c>
      <c r="M26" s="62">
        <f t="shared" si="0"/>
        <v>29.76</v>
      </c>
      <c r="N26" s="42">
        <f t="shared" si="1"/>
        <v>3.6558133699435931E-4</v>
      </c>
      <c r="O26" s="19">
        <f t="shared" si="2"/>
        <v>3.2902320329492339E-4</v>
      </c>
      <c r="P26" s="43">
        <f t="shared" si="3"/>
        <v>2.991120029953849E-4</v>
      </c>
      <c r="Q26" s="60">
        <f t="shared" si="4"/>
        <v>0.57823129251700678</v>
      </c>
      <c r="R26" s="63">
        <f t="shared" si="5"/>
        <v>0.25201612903225806</v>
      </c>
      <c r="S26" s="28">
        <f t="shared" si="6"/>
        <v>0.43583965844402278</v>
      </c>
      <c r="T26" s="12">
        <f t="shared" si="7"/>
        <v>0.35850340136054426</v>
      </c>
      <c r="U26" s="12">
        <f t="shared" si="64"/>
        <v>0.61509135912429491</v>
      </c>
      <c r="V26" s="55">
        <f t="shared" si="8"/>
        <v>0.63676976339387914</v>
      </c>
      <c r="W26" s="54">
        <f t="shared" si="65"/>
        <v>0.34063427114176142</v>
      </c>
      <c r="X26" s="55">
        <f t="shared" si="66"/>
        <v>0.22917150211986503</v>
      </c>
      <c r="Y26" s="54">
        <f t="shared" si="9"/>
        <v>0.78969464600564721</v>
      </c>
      <c r="Z26" s="55">
        <f t="shared" si="67"/>
        <v>0.6112426964226112</v>
      </c>
      <c r="AA26" s="54">
        <f t="shared" si="10"/>
        <v>0</v>
      </c>
      <c r="AB26" s="55">
        <f t="shared" si="68"/>
        <v>0</v>
      </c>
      <c r="AC26" s="54">
        <f t="shared" si="11"/>
        <v>0</v>
      </c>
      <c r="AD26" s="55">
        <f t="shared" si="69"/>
        <v>0</v>
      </c>
      <c r="AE26" s="54">
        <f t="shared" si="12"/>
        <v>0</v>
      </c>
      <c r="AF26" s="55">
        <f t="shared" si="70"/>
        <v>0</v>
      </c>
      <c r="AG26" s="54">
        <f t="shared" si="13"/>
        <v>0</v>
      </c>
      <c r="AH26" s="55">
        <f t="shared" si="71"/>
        <v>0</v>
      </c>
      <c r="AI26" s="54">
        <f t="shared" si="72"/>
        <v>0</v>
      </c>
      <c r="AJ26" s="177">
        <f t="shared" si="73"/>
        <v>0</v>
      </c>
      <c r="AK26" s="54">
        <f t="shared" si="14"/>
        <v>0</v>
      </c>
      <c r="AL26" s="55">
        <f t="shared" si="15"/>
        <v>0</v>
      </c>
      <c r="AM26" s="179">
        <f t="shared" si="16"/>
        <v>6.2038226495443514E-2</v>
      </c>
      <c r="AN26" s="52">
        <f t="shared" si="17"/>
        <v>0</v>
      </c>
      <c r="AO26" s="74">
        <f t="shared" si="74"/>
        <v>0</v>
      </c>
      <c r="AP26" s="78">
        <v>0</v>
      </c>
      <c r="AQ26" s="87">
        <f t="shared" si="18"/>
        <v>0</v>
      </c>
      <c r="AR26" s="46">
        <f t="shared" si="19"/>
        <v>135.76021179953892</v>
      </c>
      <c r="AS26" s="69">
        <f t="shared" si="20"/>
        <v>0.10182015884965419</v>
      </c>
      <c r="AT26" s="42">
        <f t="shared" si="21"/>
        <v>141.74918848471177</v>
      </c>
      <c r="AU26" s="79">
        <f t="shared" si="22"/>
        <v>0.10631189136353382</v>
      </c>
      <c r="AV26" s="83">
        <f t="shared" si="75"/>
        <v>6.831369322596992E-3</v>
      </c>
      <c r="AW26" s="84">
        <f t="shared" si="76"/>
        <v>5.6490096265576764E-3</v>
      </c>
      <c r="AX26" s="42">
        <f t="shared" si="23"/>
        <v>2.639489953632148E-2</v>
      </c>
      <c r="AY26" s="43">
        <f t="shared" si="77"/>
        <v>3.9446399650320298E-2</v>
      </c>
      <c r="AZ26" s="85">
        <f t="shared" si="24"/>
        <v>0</v>
      </c>
      <c r="BA26" s="86">
        <f t="shared" si="78"/>
        <v>0</v>
      </c>
      <c r="BB26" s="85">
        <f t="shared" si="25"/>
        <v>0</v>
      </c>
      <c r="BC26" s="86">
        <f t="shared" si="79"/>
        <v>0</v>
      </c>
      <c r="BD26" s="85">
        <f t="shared" si="26"/>
        <v>0</v>
      </c>
      <c r="BE26" s="86">
        <f t="shared" si="80"/>
        <v>0</v>
      </c>
      <c r="BF26" s="85">
        <f t="shared" si="27"/>
        <v>0</v>
      </c>
      <c r="BG26" s="86">
        <f t="shared" si="81"/>
        <v>0</v>
      </c>
      <c r="BH26" s="85">
        <f t="shared" si="28"/>
        <v>0</v>
      </c>
      <c r="BI26" s="86">
        <f t="shared" si="82"/>
        <v>0</v>
      </c>
      <c r="BJ26" s="85">
        <f t="shared" si="29"/>
        <v>0</v>
      </c>
      <c r="BK26" s="207">
        <f t="shared" si="30"/>
        <v>0</v>
      </c>
      <c r="BL26" s="85">
        <f t="shared" si="83"/>
        <v>7.8321678135796435E-2</v>
      </c>
      <c r="BM26" s="176">
        <f t="shared" si="84"/>
        <v>7.8321678135796435E-2</v>
      </c>
      <c r="BN26" s="176">
        <f t="shared" si="85"/>
        <v>7.8321678135796435E-2</v>
      </c>
      <c r="BO26" s="176">
        <f t="shared" si="86"/>
        <v>0.18014183698545061</v>
      </c>
      <c r="BP26" s="86">
        <f t="shared" si="87"/>
        <v>0.18463356949933024</v>
      </c>
      <c r="BQ26" s="211">
        <f t="shared" si="88"/>
        <v>4.4458490504682624E-3</v>
      </c>
      <c r="BR26" s="237">
        <f t="shared" si="31"/>
        <v>2.5000000000000001E-3</v>
      </c>
      <c r="BS26" s="237">
        <f t="shared" si="32"/>
        <v>0</v>
      </c>
      <c r="BT26" s="237">
        <f t="shared" si="33"/>
        <v>0</v>
      </c>
      <c r="BU26" s="237">
        <f t="shared" si="34"/>
        <v>0</v>
      </c>
      <c r="BV26" s="237">
        <f t="shared" si="35"/>
        <v>0</v>
      </c>
      <c r="BW26" s="237">
        <f t="shared" si="36"/>
        <v>0</v>
      </c>
      <c r="BX26" s="212">
        <f t="shared" si="37"/>
        <v>0</v>
      </c>
      <c r="BY26" s="238">
        <f t="shared" si="89"/>
        <v>6.945849050468262E-3</v>
      </c>
      <c r="BZ26" s="244">
        <f t="shared" si="90"/>
        <v>2.4134609131113422E-4</v>
      </c>
      <c r="CA26" s="243">
        <f t="shared" si="38"/>
        <v>5.8367647058823545E-2</v>
      </c>
      <c r="CB26" s="243">
        <f t="shared" si="39"/>
        <v>0.1008</v>
      </c>
      <c r="CC26" s="238">
        <f t="shared" si="91"/>
        <v>0.15940899315013468</v>
      </c>
      <c r="CD26" s="244">
        <f t="shared" si="40"/>
        <v>0.15</v>
      </c>
      <c r="CE26" s="243">
        <f t="shared" si="41"/>
        <v>0.09</v>
      </c>
      <c r="CF26" s="243">
        <f t="shared" si="42"/>
        <v>0</v>
      </c>
      <c r="CG26" s="243">
        <f t="shared" si="43"/>
        <v>0</v>
      </c>
      <c r="CH26" s="243">
        <f t="shared" si="44"/>
        <v>0</v>
      </c>
      <c r="CI26" s="243">
        <f t="shared" si="45"/>
        <v>0</v>
      </c>
      <c r="CJ26" s="243">
        <f t="shared" si="46"/>
        <v>0</v>
      </c>
      <c r="CK26" s="243">
        <f t="shared" si="47"/>
        <v>0</v>
      </c>
      <c r="CL26" s="243">
        <f t="shared" si="48"/>
        <v>0</v>
      </c>
      <c r="CM26" s="243">
        <f t="shared" si="49"/>
        <v>0</v>
      </c>
      <c r="CN26" s="243">
        <f t="shared" si="50"/>
        <v>0</v>
      </c>
      <c r="CO26" s="243">
        <f t="shared" si="51"/>
        <v>0</v>
      </c>
      <c r="CP26" s="243">
        <f t="shared" si="52"/>
        <v>0</v>
      </c>
      <c r="CQ26" s="243">
        <f t="shared" si="53"/>
        <v>0</v>
      </c>
      <c r="CR26" s="238">
        <f t="shared" si="54"/>
        <v>0.24</v>
      </c>
      <c r="CS26" s="246">
        <f t="shared" si="55"/>
        <v>2.8460174801828653E-2</v>
      </c>
      <c r="CT26" s="188">
        <f t="shared" si="92"/>
        <v>0.43481501700243158</v>
      </c>
      <c r="CU26" s="206">
        <f t="shared" si="56"/>
        <v>7.9348150170024319</v>
      </c>
      <c r="CV26" s="227">
        <f t="shared" si="57"/>
        <v>0.94520161893242294</v>
      </c>
      <c r="CW26">
        <f t="shared" si="58"/>
        <v>69.760000000000005</v>
      </c>
      <c r="CX26">
        <f t="shared" si="59"/>
        <v>89.210896639213644</v>
      </c>
      <c r="DA26" s="22">
        <v>500</v>
      </c>
      <c r="DB26" s="22">
        <f t="shared" si="93"/>
        <v>3141.5926535897929</v>
      </c>
      <c r="DC26" s="253">
        <f t="shared" si="94"/>
        <v>2.81024731467638</v>
      </c>
      <c r="DD26" s="93">
        <f t="shared" si="112"/>
        <v>-94.131699382498724</v>
      </c>
      <c r="DE26" s="253">
        <f t="shared" si="113"/>
        <v>13.162608126961432</v>
      </c>
      <c r="DF26" s="93">
        <f t="shared" si="114"/>
        <v>-87.250158600580832</v>
      </c>
      <c r="DG26" s="251">
        <f t="shared" si="115"/>
        <v>16.087413599119706</v>
      </c>
      <c r="DH26" s="93">
        <f t="shared" si="116"/>
        <v>-87.295172017516947</v>
      </c>
      <c r="DI26" s="91">
        <f t="shared" si="100"/>
        <v>12.05288785847622</v>
      </c>
      <c r="DJ26" s="251">
        <f t="shared" si="101"/>
        <v>170.95536961914843</v>
      </c>
      <c r="DK26" s="92">
        <f t="shared" si="60"/>
        <v>12.060361288634468</v>
      </c>
      <c r="DL26" s="93">
        <f t="shared" si="61"/>
        <v>170.66575216692414</v>
      </c>
      <c r="DM26" s="253">
        <f t="shared" si="102"/>
        <v>14.8631351731526</v>
      </c>
      <c r="DN26" s="262">
        <f t="shared" si="62"/>
        <v>76.823670236649747</v>
      </c>
      <c r="DO26" s="253">
        <f t="shared" si="103"/>
        <v>25.215495985437652</v>
      </c>
      <c r="DP26" s="259">
        <f t="shared" si="104"/>
        <v>83.705211018567596</v>
      </c>
      <c r="DQ26" s="251">
        <f t="shared" si="105"/>
        <v>28.140301457595925</v>
      </c>
      <c r="DR26" s="259">
        <f t="shared" si="106"/>
        <v>83.660197601631481</v>
      </c>
      <c r="DS26" s="253">
        <f t="shared" si="107"/>
        <v>14.870608603310847</v>
      </c>
      <c r="DT26" s="261">
        <f t="shared" si="63"/>
        <v>76.534052784425441</v>
      </c>
      <c r="DU26" s="253">
        <f t="shared" si="108"/>
        <v>25.222969415595898</v>
      </c>
      <c r="DV26" s="93">
        <f t="shared" si="109"/>
        <v>83.415593566343304</v>
      </c>
      <c r="DW26" s="251">
        <f t="shared" si="110"/>
        <v>28.147774887754174</v>
      </c>
      <c r="DX26" s="93">
        <f t="shared" si="111"/>
        <v>83.370580149407189</v>
      </c>
    </row>
    <row r="27" spans="1:128" ht="15.75" thickBot="1" x14ac:dyDescent="0.3">
      <c r="A27" s="12" t="s">
        <v>145</v>
      </c>
      <c r="B27" s="114">
        <f>MAX(Flyback_CCM_Calc!U4:U54)</f>
        <v>1.4883107088989442</v>
      </c>
      <c r="C27" s="12" t="s">
        <v>6</v>
      </c>
      <c r="E27" s="12" t="s">
        <v>426</v>
      </c>
      <c r="F27" s="258">
        <f>IF(AND(VinMax&lt;=Parts!E11,VinMin&gt;=Parts!D11),1,0)</f>
        <v>1</v>
      </c>
      <c r="G27" s="258">
        <f>IF(AND(Fsw_Input&gt;Parts!I11,Fsw_Input&lt;Parts!J11),1,0)</f>
        <v>1</v>
      </c>
      <c r="H27" s="258">
        <f>IF('Flyback CCM'!B30&lt;Parts!AA11,1,0)</f>
        <v>0</v>
      </c>
      <c r="I27" s="12">
        <f>PRODUCT(F27:H27)</f>
        <v>0</v>
      </c>
      <c r="J27" s="12">
        <f>IF(SUM(I24:I27)&gt;=1,1,0)</f>
        <v>1</v>
      </c>
      <c r="L27" s="58">
        <v>23</v>
      </c>
      <c r="M27" s="62">
        <f t="shared" si="0"/>
        <v>30.840000000000003</v>
      </c>
      <c r="N27" s="42">
        <f t="shared" si="1"/>
        <v>3.8084906323290882E-4</v>
      </c>
      <c r="O27" s="19">
        <f t="shared" si="2"/>
        <v>3.4276415690961791E-4</v>
      </c>
      <c r="P27" s="43">
        <f t="shared" si="3"/>
        <v>3.1160377900874356E-4</v>
      </c>
      <c r="Q27" s="60">
        <f t="shared" si="4"/>
        <v>0.56951423785594635</v>
      </c>
      <c r="R27" s="63">
        <f t="shared" si="5"/>
        <v>0.24319066147859919</v>
      </c>
      <c r="S27" s="28">
        <f t="shared" si="6"/>
        <v>0.42701419089036391</v>
      </c>
      <c r="T27" s="12">
        <f t="shared" si="7"/>
        <v>0.36591289782244563</v>
      </c>
      <c r="U27" s="12">
        <f t="shared" si="64"/>
        <v>0.60997063980158672</v>
      </c>
      <c r="V27" s="55">
        <f t="shared" si="8"/>
        <v>0.62570432118406294</v>
      </c>
      <c r="W27" s="54">
        <f t="shared" si="65"/>
        <v>0.33196434353538867</v>
      </c>
      <c r="X27" s="55">
        <f t="shared" si="66"/>
        <v>0.22596156210400681</v>
      </c>
      <c r="Y27" s="54">
        <f t="shared" si="9"/>
        <v>0.78330660706313127</v>
      </c>
      <c r="Z27" s="55">
        <f t="shared" si="67"/>
        <v>0.60296703116236361</v>
      </c>
      <c r="AA27" s="54">
        <f t="shared" si="10"/>
        <v>0</v>
      </c>
      <c r="AB27" s="55">
        <f t="shared" si="68"/>
        <v>0</v>
      </c>
      <c r="AC27" s="54">
        <f t="shared" si="11"/>
        <v>0</v>
      </c>
      <c r="AD27" s="55">
        <f t="shared" si="69"/>
        <v>0</v>
      </c>
      <c r="AE27" s="54">
        <f t="shared" si="12"/>
        <v>0</v>
      </c>
      <c r="AF27" s="55">
        <f t="shared" si="70"/>
        <v>0</v>
      </c>
      <c r="AG27" s="54">
        <f t="shared" si="13"/>
        <v>0</v>
      </c>
      <c r="AH27" s="55">
        <f t="shared" si="71"/>
        <v>0</v>
      </c>
      <c r="AI27" s="54">
        <f t="shared" si="72"/>
        <v>0</v>
      </c>
      <c r="AJ27" s="177">
        <f t="shared" si="73"/>
        <v>0</v>
      </c>
      <c r="AK27" s="54">
        <f t="shared" si="14"/>
        <v>0</v>
      </c>
      <c r="AL27" s="55">
        <f t="shared" si="15"/>
        <v>0</v>
      </c>
      <c r="AM27" s="179">
        <f t="shared" si="16"/>
        <v>6.3320423590299907E-2</v>
      </c>
      <c r="AN27" s="52">
        <f t="shared" si="17"/>
        <v>0</v>
      </c>
      <c r="AO27" s="74">
        <f t="shared" si="74"/>
        <v>0</v>
      </c>
      <c r="AP27" s="78">
        <v>0</v>
      </c>
      <c r="AQ27" s="87">
        <f t="shared" si="18"/>
        <v>0</v>
      </c>
      <c r="AR27" s="46">
        <f t="shared" si="19"/>
        <v>143.35244693464162</v>
      </c>
      <c r="AS27" s="69">
        <f t="shared" si="20"/>
        <v>0.10751433520098121</v>
      </c>
      <c r="AT27" s="42">
        <f t="shared" si="21"/>
        <v>149.06521038253106</v>
      </c>
      <c r="AU27" s="79">
        <f t="shared" si="22"/>
        <v>0.1117989077868983</v>
      </c>
      <c r="AV27" s="83">
        <f t="shared" si="75"/>
        <v>6.3612853914064606E-3</v>
      </c>
      <c r="AW27" s="84">
        <f t="shared" si="76"/>
        <v>5.4918697542444004E-3</v>
      </c>
      <c r="AX27" s="42">
        <f t="shared" si="23"/>
        <v>2.639489953632148E-2</v>
      </c>
      <c r="AY27" s="43">
        <f t="shared" si="77"/>
        <v>3.8385494327793875E-2</v>
      </c>
      <c r="AZ27" s="85">
        <f t="shared" si="24"/>
        <v>0</v>
      </c>
      <c r="BA27" s="86">
        <f t="shared" si="78"/>
        <v>0</v>
      </c>
      <c r="BB27" s="85">
        <f t="shared" si="25"/>
        <v>0</v>
      </c>
      <c r="BC27" s="86">
        <f t="shared" si="79"/>
        <v>0</v>
      </c>
      <c r="BD27" s="85">
        <f t="shared" si="26"/>
        <v>0</v>
      </c>
      <c r="BE27" s="86">
        <f t="shared" si="80"/>
        <v>0</v>
      </c>
      <c r="BF27" s="85">
        <f t="shared" si="27"/>
        <v>0</v>
      </c>
      <c r="BG27" s="86">
        <f t="shared" si="81"/>
        <v>0</v>
      </c>
      <c r="BH27" s="85">
        <f t="shared" si="28"/>
        <v>0</v>
      </c>
      <c r="BI27" s="86">
        <f t="shared" si="82"/>
        <v>0</v>
      </c>
      <c r="BJ27" s="85">
        <f t="shared" si="29"/>
        <v>0</v>
      </c>
      <c r="BK27" s="207">
        <f t="shared" si="30"/>
        <v>0</v>
      </c>
      <c r="BL27" s="85">
        <f t="shared" si="83"/>
        <v>7.6633549009766211E-2</v>
      </c>
      <c r="BM27" s="176">
        <f t="shared" si="84"/>
        <v>7.6633549009766211E-2</v>
      </c>
      <c r="BN27" s="176">
        <f t="shared" si="85"/>
        <v>7.6633549009766211E-2</v>
      </c>
      <c r="BO27" s="176">
        <f t="shared" si="86"/>
        <v>0.1841478842107474</v>
      </c>
      <c r="BP27" s="86">
        <f t="shared" si="87"/>
        <v>0.18843245679666451</v>
      </c>
      <c r="BQ27" s="211">
        <f t="shared" si="88"/>
        <v>4.1399188481279041E-3</v>
      </c>
      <c r="BR27" s="237">
        <f t="shared" si="31"/>
        <v>2.5000000000000001E-3</v>
      </c>
      <c r="BS27" s="237">
        <f t="shared" si="32"/>
        <v>0</v>
      </c>
      <c r="BT27" s="237">
        <f t="shared" si="33"/>
        <v>0</v>
      </c>
      <c r="BU27" s="237">
        <f t="shared" si="34"/>
        <v>0</v>
      </c>
      <c r="BV27" s="237">
        <f t="shared" si="35"/>
        <v>0</v>
      </c>
      <c r="BW27" s="237">
        <f t="shared" si="36"/>
        <v>0</v>
      </c>
      <c r="BX27" s="212">
        <f t="shared" si="37"/>
        <v>0</v>
      </c>
      <c r="BY27" s="238">
        <f t="shared" si="89"/>
        <v>6.6399188481279046E-3</v>
      </c>
      <c r="BZ27" s="244">
        <f t="shared" si="90"/>
        <v>2.2473845175551477E-4</v>
      </c>
      <c r="CA27" s="243">
        <f t="shared" si="38"/>
        <v>5.9261029411764719E-2</v>
      </c>
      <c r="CB27" s="243">
        <f t="shared" si="39"/>
        <v>0.1008</v>
      </c>
      <c r="CC27" s="238">
        <f t="shared" si="91"/>
        <v>0.16028576786352022</v>
      </c>
      <c r="CD27" s="244">
        <f t="shared" si="40"/>
        <v>0.15</v>
      </c>
      <c r="CE27" s="243">
        <f t="shared" si="41"/>
        <v>0.09</v>
      </c>
      <c r="CF27" s="243">
        <f t="shared" si="42"/>
        <v>0</v>
      </c>
      <c r="CG27" s="243">
        <f t="shared" si="43"/>
        <v>0</v>
      </c>
      <c r="CH27" s="243">
        <f t="shared" si="44"/>
        <v>0</v>
      </c>
      <c r="CI27" s="243">
        <f t="shared" si="45"/>
        <v>0</v>
      </c>
      <c r="CJ27" s="243">
        <f t="shared" si="46"/>
        <v>0</v>
      </c>
      <c r="CK27" s="243">
        <f t="shared" si="47"/>
        <v>0</v>
      </c>
      <c r="CL27" s="243">
        <f t="shared" si="48"/>
        <v>0</v>
      </c>
      <c r="CM27" s="243">
        <f t="shared" si="49"/>
        <v>0</v>
      </c>
      <c r="CN27" s="243">
        <f t="shared" si="50"/>
        <v>0</v>
      </c>
      <c r="CO27" s="243">
        <f t="shared" si="51"/>
        <v>0</v>
      </c>
      <c r="CP27" s="243">
        <f t="shared" si="52"/>
        <v>0</v>
      </c>
      <c r="CQ27" s="243">
        <f t="shared" si="53"/>
        <v>0</v>
      </c>
      <c r="CR27" s="238">
        <f t="shared" si="54"/>
        <v>0.24</v>
      </c>
      <c r="CS27" s="246">
        <f t="shared" si="55"/>
        <v>2.760870391183461E-2</v>
      </c>
      <c r="CT27" s="188">
        <f t="shared" si="92"/>
        <v>0.4345343906234827</v>
      </c>
      <c r="CU27" s="206">
        <f t="shared" si="56"/>
        <v>7.9345343906234831</v>
      </c>
      <c r="CV27" s="227">
        <f t="shared" si="57"/>
        <v>0.94523504855723006</v>
      </c>
      <c r="CW27">
        <f t="shared" si="58"/>
        <v>70.84</v>
      </c>
      <c r="CX27">
        <f t="shared" si="59"/>
        <v>90.128965276031721</v>
      </c>
      <c r="DA27" s="22">
        <v>600</v>
      </c>
      <c r="DB27" s="22">
        <f t="shared" si="93"/>
        <v>3769.9111843077517</v>
      </c>
      <c r="DC27" s="253">
        <f t="shared" si="94"/>
        <v>1.2601128594008757</v>
      </c>
      <c r="DD27" s="93">
        <f t="shared" si="112"/>
        <v>-96.200476218119363</v>
      </c>
      <c r="DE27" s="253">
        <f t="shared" si="113"/>
        <v>11.583917787378144</v>
      </c>
      <c r="DF27" s="93">
        <f t="shared" si="114"/>
        <v>-87.961937694174196</v>
      </c>
      <c r="DG27" s="251">
        <f t="shared" si="115"/>
        <v>14.506744678895327</v>
      </c>
      <c r="DH27" s="93">
        <f t="shared" si="116"/>
        <v>-87.70202078955208</v>
      </c>
      <c r="DI27" s="91">
        <f t="shared" si="100"/>
        <v>12.026624774831514</v>
      </c>
      <c r="DJ27" s="251">
        <f t="shared" si="101"/>
        <v>172.05602965077958</v>
      </c>
      <c r="DK27" s="92">
        <f t="shared" si="60"/>
        <v>12.032359430531949</v>
      </c>
      <c r="DL27" s="93">
        <f t="shared" si="61"/>
        <v>171.80323945394812</v>
      </c>
      <c r="DM27" s="253">
        <f t="shared" si="102"/>
        <v>13.28673763423239</v>
      </c>
      <c r="DN27" s="262">
        <f t="shared" si="62"/>
        <v>75.855553432660173</v>
      </c>
      <c r="DO27" s="253">
        <f t="shared" si="103"/>
        <v>23.610542562209659</v>
      </c>
      <c r="DP27" s="259">
        <f t="shared" si="104"/>
        <v>84.094091956605382</v>
      </c>
      <c r="DQ27" s="251">
        <f t="shared" si="105"/>
        <v>26.533369453726841</v>
      </c>
      <c r="DR27" s="259">
        <f t="shared" si="106"/>
        <v>84.354008861227499</v>
      </c>
      <c r="DS27" s="253">
        <f t="shared" si="107"/>
        <v>13.292472289932824</v>
      </c>
      <c r="DT27" s="261">
        <f t="shared" si="63"/>
        <v>75.602763235828832</v>
      </c>
      <c r="DU27" s="253">
        <f t="shared" si="108"/>
        <v>23.616277217910095</v>
      </c>
      <c r="DV27" s="93">
        <f t="shared" si="109"/>
        <v>83.841301759773927</v>
      </c>
      <c r="DW27" s="251">
        <f t="shared" si="110"/>
        <v>26.539104109427278</v>
      </c>
      <c r="DX27" s="93">
        <f t="shared" si="111"/>
        <v>84.101218664396043</v>
      </c>
    </row>
    <row r="28" spans="1:128" ht="15.75" thickBot="1" x14ac:dyDescent="0.3">
      <c r="A28" s="12" t="s">
        <v>146</v>
      </c>
      <c r="B28" s="114">
        <f>MAX(Flyback_CCM_Calc!T4:T54)</f>
        <v>0.50595238095238104</v>
      </c>
      <c r="C28" s="12" t="s">
        <v>6</v>
      </c>
      <c r="E28" s="12" t="s">
        <v>960</v>
      </c>
      <c r="F28" s="258">
        <f>IF(AND(VinMax&lt;=Parts!E12,VinMin&gt;=Parts!D12),1,0)</f>
        <v>0</v>
      </c>
      <c r="G28" s="258">
        <f>IF(AND(Fsw_Input&gt;Parts!I12,Fsw_Input&lt;Parts!J12),1,0)</f>
        <v>1</v>
      </c>
      <c r="H28" s="258">
        <f>1</f>
        <v>1</v>
      </c>
      <c r="I28" s="12">
        <f>PRODUCT(F28:H28)</f>
        <v>0</v>
      </c>
      <c r="J28" s="12"/>
      <c r="L28" s="58">
        <v>24</v>
      </c>
      <c r="M28" s="62">
        <f t="shared" si="0"/>
        <v>31.92</v>
      </c>
      <c r="N28" s="42">
        <f t="shared" si="1"/>
        <v>3.9596183864811115E-4</v>
      </c>
      <c r="O28" s="19">
        <f t="shared" si="2"/>
        <v>3.5636565478329999E-4</v>
      </c>
      <c r="P28" s="43">
        <f t="shared" si="3"/>
        <v>3.2396877707572722E-4</v>
      </c>
      <c r="Q28" s="60">
        <f t="shared" si="4"/>
        <v>0.56105610561056096</v>
      </c>
      <c r="R28" s="63">
        <f t="shared" si="5"/>
        <v>0.23496240601503759</v>
      </c>
      <c r="S28" s="28">
        <f t="shared" si="6"/>
        <v>0.41878593542680237</v>
      </c>
      <c r="T28" s="12">
        <f t="shared" si="7"/>
        <v>0.37310231023102314</v>
      </c>
      <c r="U28" s="12">
        <f t="shared" si="64"/>
        <v>0.60533709054231388</v>
      </c>
      <c r="V28" s="55">
        <f t="shared" si="8"/>
        <v>0.61541954469262572</v>
      </c>
      <c r="W28" s="54">
        <f t="shared" si="65"/>
        <v>0.32389419754446497</v>
      </c>
      <c r="X28" s="55">
        <f t="shared" si="66"/>
        <v>0.22293523490600925</v>
      </c>
      <c r="Y28" s="54">
        <f t="shared" si="9"/>
        <v>0.77740092572842867</v>
      </c>
      <c r="Z28" s="55">
        <f t="shared" si="67"/>
        <v>0.59527489391323896</v>
      </c>
      <c r="AA28" s="54">
        <f t="shared" si="10"/>
        <v>0</v>
      </c>
      <c r="AB28" s="55">
        <f t="shared" si="68"/>
        <v>0</v>
      </c>
      <c r="AC28" s="54">
        <f t="shared" si="11"/>
        <v>0</v>
      </c>
      <c r="AD28" s="55">
        <f t="shared" si="69"/>
        <v>0</v>
      </c>
      <c r="AE28" s="54">
        <f t="shared" si="12"/>
        <v>0</v>
      </c>
      <c r="AF28" s="55">
        <f t="shared" si="70"/>
        <v>0</v>
      </c>
      <c r="AG28" s="54">
        <f t="shared" si="13"/>
        <v>0</v>
      </c>
      <c r="AH28" s="55">
        <f t="shared" si="71"/>
        <v>0</v>
      </c>
      <c r="AI28" s="54">
        <f t="shared" si="72"/>
        <v>0</v>
      </c>
      <c r="AJ28" s="177">
        <f t="shared" si="73"/>
        <v>0</v>
      </c>
      <c r="AK28" s="54">
        <f t="shared" si="14"/>
        <v>0</v>
      </c>
      <c r="AL28" s="55">
        <f t="shared" si="15"/>
        <v>0</v>
      </c>
      <c r="AM28" s="179">
        <f t="shared" si="16"/>
        <v>6.4564535622932823E-2</v>
      </c>
      <c r="AN28" s="52">
        <f t="shared" si="17"/>
        <v>0</v>
      </c>
      <c r="AO28" s="74">
        <f t="shared" si="74"/>
        <v>0</v>
      </c>
      <c r="AP28" s="78">
        <v>0</v>
      </c>
      <c r="AQ28" s="87">
        <f t="shared" si="18"/>
        <v>0</v>
      </c>
      <c r="AR28" s="46">
        <f t="shared" si="19"/>
        <v>150.96723342072272</v>
      </c>
      <c r="AS28" s="69">
        <f t="shared" si="20"/>
        <v>0.11322542506554203</v>
      </c>
      <c r="AT28" s="42">
        <f t="shared" si="21"/>
        <v>156.37374571584675</v>
      </c>
      <c r="AU28" s="79">
        <f t="shared" si="22"/>
        <v>0.11728030928688506</v>
      </c>
      <c r="AV28" s="83">
        <f t="shared" si="75"/>
        <v>5.938104737647768E-3</v>
      </c>
      <c r="AW28" s="84">
        <f t="shared" si="76"/>
        <v>5.3457484703023092E-3</v>
      </c>
      <c r="AX28" s="42">
        <f t="shared" si="23"/>
        <v>2.639489953632148E-2</v>
      </c>
      <c r="AY28" s="43">
        <f t="shared" si="77"/>
        <v>3.7412362806464719E-2</v>
      </c>
      <c r="AZ28" s="85">
        <f t="shared" si="24"/>
        <v>0</v>
      </c>
      <c r="BA28" s="86">
        <f t="shared" si="78"/>
        <v>0</v>
      </c>
      <c r="BB28" s="85">
        <f t="shared" si="25"/>
        <v>0</v>
      </c>
      <c r="BC28" s="86">
        <f t="shared" si="79"/>
        <v>0</v>
      </c>
      <c r="BD28" s="85">
        <f t="shared" si="26"/>
        <v>0</v>
      </c>
      <c r="BE28" s="86">
        <f t="shared" si="80"/>
        <v>0</v>
      </c>
      <c r="BF28" s="85">
        <f t="shared" si="27"/>
        <v>0</v>
      </c>
      <c r="BG28" s="86">
        <f t="shared" si="81"/>
        <v>0</v>
      </c>
      <c r="BH28" s="85">
        <f t="shared" si="28"/>
        <v>0</v>
      </c>
      <c r="BI28" s="86">
        <f t="shared" si="82"/>
        <v>0</v>
      </c>
      <c r="BJ28" s="85">
        <f t="shared" si="29"/>
        <v>0</v>
      </c>
      <c r="BK28" s="207">
        <f t="shared" si="30"/>
        <v>0</v>
      </c>
      <c r="BL28" s="85">
        <f t="shared" si="83"/>
        <v>7.5091115550736276E-2</v>
      </c>
      <c r="BM28" s="176">
        <f t="shared" si="84"/>
        <v>7.5091115550736276E-2</v>
      </c>
      <c r="BN28" s="176">
        <f t="shared" si="85"/>
        <v>7.5091115550736276E-2</v>
      </c>
      <c r="BO28" s="176">
        <f t="shared" si="86"/>
        <v>0.18831654061627831</v>
      </c>
      <c r="BP28" s="86">
        <f t="shared" si="87"/>
        <v>0.19237142483762132</v>
      </c>
      <c r="BQ28" s="211">
        <f t="shared" si="88"/>
        <v>3.8645132568262768E-3</v>
      </c>
      <c r="BR28" s="237">
        <f t="shared" si="31"/>
        <v>2.5000000000000001E-3</v>
      </c>
      <c r="BS28" s="237">
        <f t="shared" si="32"/>
        <v>0</v>
      </c>
      <c r="BT28" s="237">
        <f t="shared" si="33"/>
        <v>0</v>
      </c>
      <c r="BU28" s="237">
        <f t="shared" si="34"/>
        <v>0</v>
      </c>
      <c r="BV28" s="237">
        <f t="shared" si="35"/>
        <v>0</v>
      </c>
      <c r="BW28" s="237">
        <f t="shared" si="36"/>
        <v>0</v>
      </c>
      <c r="BX28" s="212">
        <f t="shared" si="37"/>
        <v>0</v>
      </c>
      <c r="BY28" s="238">
        <f t="shared" si="89"/>
        <v>6.3645132568262769E-3</v>
      </c>
      <c r="BZ28" s="244">
        <f t="shared" si="90"/>
        <v>2.0978786251342642E-4</v>
      </c>
      <c r="CA28" s="243">
        <f t="shared" si="38"/>
        <v>6.0154411764705901E-2</v>
      </c>
      <c r="CB28" s="243">
        <f t="shared" si="39"/>
        <v>0.1008</v>
      </c>
      <c r="CC28" s="238">
        <f t="shared" si="91"/>
        <v>0.16116419962721934</v>
      </c>
      <c r="CD28" s="244">
        <f t="shared" si="40"/>
        <v>0.15</v>
      </c>
      <c r="CE28" s="243">
        <f t="shared" si="41"/>
        <v>0.09</v>
      </c>
      <c r="CF28" s="243">
        <f t="shared" si="42"/>
        <v>0</v>
      </c>
      <c r="CG28" s="243">
        <f t="shared" si="43"/>
        <v>0</v>
      </c>
      <c r="CH28" s="243">
        <f t="shared" si="44"/>
        <v>0</v>
      </c>
      <c r="CI28" s="243">
        <f t="shared" si="45"/>
        <v>0</v>
      </c>
      <c r="CJ28" s="243">
        <f t="shared" si="46"/>
        <v>0</v>
      </c>
      <c r="CK28" s="243">
        <f t="shared" si="47"/>
        <v>0</v>
      </c>
      <c r="CL28" s="243">
        <f t="shared" si="48"/>
        <v>0</v>
      </c>
      <c r="CM28" s="243">
        <f t="shared" si="49"/>
        <v>0</v>
      </c>
      <c r="CN28" s="243">
        <f t="shared" si="50"/>
        <v>0</v>
      </c>
      <c r="CO28" s="243">
        <f t="shared" si="51"/>
        <v>0</v>
      </c>
      <c r="CP28" s="243">
        <f t="shared" si="52"/>
        <v>0</v>
      </c>
      <c r="CQ28" s="243">
        <f t="shared" si="53"/>
        <v>0</v>
      </c>
      <c r="CR28" s="238">
        <f t="shared" si="54"/>
        <v>0.24</v>
      </c>
      <c r="CS28" s="246">
        <f t="shared" si="55"/>
        <v>2.6806675935960117E-2</v>
      </c>
      <c r="CT28" s="188">
        <f t="shared" si="92"/>
        <v>0.43433538882000566</v>
      </c>
      <c r="CU28" s="206">
        <f t="shared" si="56"/>
        <v>7.9343353888200054</v>
      </c>
      <c r="CV28" s="227">
        <f t="shared" si="57"/>
        <v>0.94525875608535381</v>
      </c>
      <c r="CW28">
        <f t="shared" si="58"/>
        <v>71.92</v>
      </c>
      <c r="CX28">
        <f t="shared" si="59"/>
        <v>91.062439582932825</v>
      </c>
      <c r="DA28" s="22">
        <v>700</v>
      </c>
      <c r="DB28" s="22">
        <f t="shared" si="93"/>
        <v>4398.22971502571</v>
      </c>
      <c r="DC28" s="253">
        <f t="shared" si="94"/>
        <v>-4.2266862223460995E-2</v>
      </c>
      <c r="DD28" s="93">
        <f t="shared" si="112"/>
        <v>-98.095597274250522</v>
      </c>
      <c r="DE28" s="253">
        <f t="shared" si="113"/>
        <v>10.248042660664041</v>
      </c>
      <c r="DF28" s="93">
        <f t="shared" si="114"/>
        <v>-88.51036134529204</v>
      </c>
      <c r="DG28" s="251">
        <f t="shared" si="115"/>
        <v>13.169738785716696</v>
      </c>
      <c r="DH28" s="93">
        <f t="shared" si="116"/>
        <v>-87.986015427781865</v>
      </c>
      <c r="DI28" s="91">
        <f t="shared" si="100"/>
        <v>12.010327405198737</v>
      </c>
      <c r="DJ28" s="251">
        <f t="shared" si="101"/>
        <v>172.78532164577291</v>
      </c>
      <c r="DK28" s="92">
        <f t="shared" si="60"/>
        <v>12.014983343492357</v>
      </c>
      <c r="DL28" s="93">
        <f t="shared" si="61"/>
        <v>172.55771176309099</v>
      </c>
      <c r="DM28" s="253">
        <f t="shared" si="102"/>
        <v>11.968060542975277</v>
      </c>
      <c r="DN28" s="262">
        <f t="shared" si="62"/>
        <v>74.689724371522374</v>
      </c>
      <c r="DO28" s="253">
        <f t="shared" si="103"/>
        <v>22.258370065862778</v>
      </c>
      <c r="DP28" s="259">
        <f t="shared" si="104"/>
        <v>84.274960300480871</v>
      </c>
      <c r="DQ28" s="251">
        <f t="shared" si="105"/>
        <v>25.180066190915433</v>
      </c>
      <c r="DR28" s="259">
        <f t="shared" si="106"/>
        <v>84.799306217991045</v>
      </c>
      <c r="DS28" s="253">
        <f t="shared" si="107"/>
        <v>11.972716481268897</v>
      </c>
      <c r="DT28" s="261">
        <f t="shared" si="63"/>
        <v>74.46211448884047</v>
      </c>
      <c r="DU28" s="253">
        <f t="shared" si="108"/>
        <v>22.263026004156398</v>
      </c>
      <c r="DV28" s="93">
        <f t="shared" si="109"/>
        <v>84.047350417798953</v>
      </c>
      <c r="DW28" s="251">
        <f t="shared" si="110"/>
        <v>25.184722129209053</v>
      </c>
      <c r="DX28" s="93">
        <f t="shared" si="111"/>
        <v>84.571696335309127</v>
      </c>
    </row>
    <row r="29" spans="1:128" ht="15.75" thickBot="1" x14ac:dyDescent="0.3">
      <c r="A29" s="12" t="s">
        <v>147</v>
      </c>
      <c r="B29" s="8">
        <f>MAX(Flyback_CCM_Calc!W4:W54)</f>
        <v>1.3390825797136774</v>
      </c>
      <c r="C29" s="12" t="s">
        <v>6</v>
      </c>
      <c r="L29" s="58">
        <v>25</v>
      </c>
      <c r="M29" s="62">
        <f t="shared" si="0"/>
        <v>33</v>
      </c>
      <c r="N29" s="42">
        <f t="shared" si="1"/>
        <v>4.1091355086992606E-4</v>
      </c>
      <c r="O29" s="19">
        <f t="shared" si="2"/>
        <v>3.698221957829335E-4</v>
      </c>
      <c r="P29" s="43">
        <f t="shared" si="3"/>
        <v>3.3620199616630309E-4</v>
      </c>
      <c r="Q29" s="60">
        <f t="shared" si="4"/>
        <v>0.55284552845528456</v>
      </c>
      <c r="R29" s="63">
        <f t="shared" si="5"/>
        <v>0.22727272727272727</v>
      </c>
      <c r="S29" s="28">
        <f t="shared" si="6"/>
        <v>0.41109625668449196</v>
      </c>
      <c r="T29" s="12">
        <f t="shared" si="7"/>
        <v>0.38008130081300823</v>
      </c>
      <c r="U29" s="12">
        <f t="shared" si="64"/>
        <v>0.6011369070909961</v>
      </c>
      <c r="V29" s="55">
        <f t="shared" si="8"/>
        <v>0.6058400446210912</v>
      </c>
      <c r="W29" s="54">
        <f t="shared" si="65"/>
        <v>0.31636432935564773</v>
      </c>
      <c r="X29" s="55">
        <f t="shared" si="66"/>
        <v>0.22007611484817086</v>
      </c>
      <c r="Y29" s="54">
        <f t="shared" si="9"/>
        <v>0.77193524070784914</v>
      </c>
      <c r="Z29" s="55">
        <f t="shared" si="67"/>
        <v>0.58811904904252588</v>
      </c>
      <c r="AA29" s="54">
        <f t="shared" si="10"/>
        <v>0</v>
      </c>
      <c r="AB29" s="55">
        <f t="shared" si="68"/>
        <v>0</v>
      </c>
      <c r="AC29" s="54">
        <f t="shared" si="11"/>
        <v>0</v>
      </c>
      <c r="AD29" s="55">
        <f t="shared" si="69"/>
        <v>0</v>
      </c>
      <c r="AE29" s="54">
        <f t="shared" si="12"/>
        <v>0</v>
      </c>
      <c r="AF29" s="55">
        <f t="shared" si="70"/>
        <v>0</v>
      </c>
      <c r="AG29" s="54">
        <f t="shared" si="13"/>
        <v>0</v>
      </c>
      <c r="AH29" s="55">
        <f t="shared" si="71"/>
        <v>0</v>
      </c>
      <c r="AI29" s="54">
        <f t="shared" si="72"/>
        <v>0</v>
      </c>
      <c r="AJ29" s="177">
        <f t="shared" si="73"/>
        <v>0</v>
      </c>
      <c r="AK29" s="54">
        <f t="shared" si="14"/>
        <v>0</v>
      </c>
      <c r="AL29" s="55">
        <f t="shared" si="15"/>
        <v>0</v>
      </c>
      <c r="AM29" s="179">
        <f t="shared" si="16"/>
        <v>6.5772234620464318E-2</v>
      </c>
      <c r="AN29" s="52">
        <f t="shared" si="17"/>
        <v>0</v>
      </c>
      <c r="AO29" s="74">
        <f t="shared" si="74"/>
        <v>0</v>
      </c>
      <c r="AP29" s="78">
        <v>0</v>
      </c>
      <c r="AQ29" s="87">
        <f t="shared" si="18"/>
        <v>0</v>
      </c>
      <c r="AR29" s="46">
        <f t="shared" si="19"/>
        <v>158.59587262604038</v>
      </c>
      <c r="AS29" s="69">
        <f t="shared" si="20"/>
        <v>0.11894690446953028</v>
      </c>
      <c r="AT29" s="42">
        <f t="shared" si="21"/>
        <v>163.66782481046485</v>
      </c>
      <c r="AU29" s="79">
        <f t="shared" si="22"/>
        <v>0.12275086860784865</v>
      </c>
      <c r="AV29" s="83">
        <f t="shared" si="75"/>
        <v>5.5557889430347821E-3</v>
      </c>
      <c r="AW29" s="84">
        <f t="shared" si="76"/>
        <v>5.2095104459309654E-3</v>
      </c>
      <c r="AX29" s="42">
        <f t="shared" si="23"/>
        <v>2.639489953632148E-2</v>
      </c>
      <c r="AY29" s="43">
        <f t="shared" si="77"/>
        <v>3.6518295397970704E-2</v>
      </c>
      <c r="AZ29" s="85">
        <f t="shared" si="24"/>
        <v>0</v>
      </c>
      <c r="BA29" s="86">
        <f t="shared" si="78"/>
        <v>0</v>
      </c>
      <c r="BB29" s="85">
        <f t="shared" si="25"/>
        <v>0</v>
      </c>
      <c r="BC29" s="86">
        <f t="shared" si="79"/>
        <v>0</v>
      </c>
      <c r="BD29" s="85">
        <f t="shared" si="26"/>
        <v>0</v>
      </c>
      <c r="BE29" s="86">
        <f t="shared" si="80"/>
        <v>0</v>
      </c>
      <c r="BF29" s="85">
        <f t="shared" si="27"/>
        <v>0</v>
      </c>
      <c r="BG29" s="86">
        <f t="shared" si="81"/>
        <v>0</v>
      </c>
      <c r="BH29" s="85">
        <f t="shared" si="28"/>
        <v>0</v>
      </c>
      <c r="BI29" s="86">
        <f t="shared" si="82"/>
        <v>0</v>
      </c>
      <c r="BJ29" s="85">
        <f t="shared" si="29"/>
        <v>0</v>
      </c>
      <c r="BK29" s="207">
        <f t="shared" si="30"/>
        <v>0</v>
      </c>
      <c r="BL29" s="85">
        <f t="shared" si="83"/>
        <v>7.3678494323257931E-2</v>
      </c>
      <c r="BM29" s="176">
        <f t="shared" si="84"/>
        <v>7.3678494323257931E-2</v>
      </c>
      <c r="BN29" s="176">
        <f t="shared" si="85"/>
        <v>7.3678494323257931E-2</v>
      </c>
      <c r="BO29" s="176">
        <f t="shared" si="86"/>
        <v>0.19262539879278823</v>
      </c>
      <c r="BP29" s="86">
        <f t="shared" si="87"/>
        <v>0.19642936293110658</v>
      </c>
      <c r="BQ29" s="211">
        <f t="shared" si="88"/>
        <v>3.6157024793388431E-3</v>
      </c>
      <c r="BR29" s="237">
        <f t="shared" si="31"/>
        <v>2.5000000000000001E-3</v>
      </c>
      <c r="BS29" s="237">
        <f t="shared" si="32"/>
        <v>0</v>
      </c>
      <c r="BT29" s="237">
        <f t="shared" si="33"/>
        <v>0</v>
      </c>
      <c r="BU29" s="237">
        <f t="shared" si="34"/>
        <v>0</v>
      </c>
      <c r="BV29" s="237">
        <f t="shared" si="35"/>
        <v>0</v>
      </c>
      <c r="BW29" s="237">
        <f t="shared" si="36"/>
        <v>0</v>
      </c>
      <c r="BX29" s="212">
        <f t="shared" si="37"/>
        <v>0</v>
      </c>
      <c r="BY29" s="238">
        <f t="shared" si="89"/>
        <v>6.1157024793388436E-3</v>
      </c>
      <c r="BZ29" s="244">
        <f t="shared" si="90"/>
        <v>1.9628099173553716E-4</v>
      </c>
      <c r="CA29" s="243">
        <f t="shared" si="38"/>
        <v>6.1047794117647054E-2</v>
      </c>
      <c r="CB29" s="243">
        <f t="shared" si="39"/>
        <v>0.1008</v>
      </c>
      <c r="CC29" s="238">
        <f t="shared" si="91"/>
        <v>0.1620440751093826</v>
      </c>
      <c r="CD29" s="244">
        <f t="shared" si="40"/>
        <v>0.15</v>
      </c>
      <c r="CE29" s="243">
        <f t="shared" si="41"/>
        <v>0.09</v>
      </c>
      <c r="CF29" s="243">
        <f t="shared" si="42"/>
        <v>0</v>
      </c>
      <c r="CG29" s="243">
        <f t="shared" si="43"/>
        <v>0</v>
      </c>
      <c r="CH29" s="243">
        <f t="shared" si="44"/>
        <v>0</v>
      </c>
      <c r="CI29" s="243">
        <f t="shared" si="45"/>
        <v>0</v>
      </c>
      <c r="CJ29" s="243">
        <f t="shared" si="46"/>
        <v>0</v>
      </c>
      <c r="CK29" s="243">
        <f t="shared" si="47"/>
        <v>0</v>
      </c>
      <c r="CL29" s="243">
        <f t="shared" si="48"/>
        <v>0</v>
      </c>
      <c r="CM29" s="243">
        <f t="shared" si="49"/>
        <v>0</v>
      </c>
      <c r="CN29" s="243">
        <f t="shared" si="50"/>
        <v>0</v>
      </c>
      <c r="CO29" s="243">
        <f t="shared" si="51"/>
        <v>0</v>
      </c>
      <c r="CP29" s="243">
        <f t="shared" si="52"/>
        <v>0</v>
      </c>
      <c r="CQ29" s="243">
        <f t="shared" si="53"/>
        <v>0</v>
      </c>
      <c r="CR29" s="238">
        <f t="shared" si="54"/>
        <v>0.24</v>
      </c>
      <c r="CS29" s="246">
        <f t="shared" si="55"/>
        <v>2.6046480193785131E-2</v>
      </c>
      <c r="CT29" s="188">
        <f t="shared" si="92"/>
        <v>0.4342062577825066</v>
      </c>
      <c r="CU29" s="206">
        <f t="shared" si="56"/>
        <v>7.934206257782507</v>
      </c>
      <c r="CV29" s="227">
        <f t="shared" si="57"/>
        <v>0.94527414038970781</v>
      </c>
      <c r="CW29">
        <f t="shared" si="58"/>
        <v>73</v>
      </c>
      <c r="CX29">
        <f t="shared" si="59"/>
        <v>92.009618119965722</v>
      </c>
      <c r="DA29" s="22">
        <v>800</v>
      </c>
      <c r="DB29" s="22">
        <f t="shared" si="93"/>
        <v>5026.5482457436692</v>
      </c>
      <c r="DC29" s="253">
        <f t="shared" si="94"/>
        <v>-1.161718994641006</v>
      </c>
      <c r="DD29" s="93">
        <f t="shared" si="112"/>
        <v>-99.876638745406055</v>
      </c>
      <c r="DE29" s="253">
        <f t="shared" si="113"/>
        <v>9.0902764964735532</v>
      </c>
      <c r="DF29" s="93">
        <f t="shared" si="114"/>
        <v>-88.95653463820689</v>
      </c>
      <c r="DG29" s="251">
        <f t="shared" si="115"/>
        <v>12.01130392048829</v>
      </c>
      <c r="DH29" s="93">
        <f t="shared" si="116"/>
        <v>-88.193171561154813</v>
      </c>
      <c r="DI29" s="91">
        <f t="shared" si="100"/>
        <v>11.999319929674213</v>
      </c>
      <c r="DJ29" s="251">
        <f t="shared" si="101"/>
        <v>173.28073997950273</v>
      </c>
      <c r="DK29" s="92">
        <f t="shared" si="60"/>
        <v>12.003250821491458</v>
      </c>
      <c r="DL29" s="93">
        <f t="shared" si="61"/>
        <v>173.07085278681276</v>
      </c>
      <c r="DM29" s="253">
        <f t="shared" si="102"/>
        <v>10.837600935033207</v>
      </c>
      <c r="DN29" s="262">
        <f t="shared" si="62"/>
        <v>73.404101234096714</v>
      </c>
      <c r="DO29" s="253">
        <f t="shared" si="103"/>
        <v>21.089596426147764</v>
      </c>
      <c r="DP29" s="259">
        <f t="shared" si="104"/>
        <v>84.324205341295837</v>
      </c>
      <c r="DQ29" s="251">
        <f t="shared" si="105"/>
        <v>24.010623850162503</v>
      </c>
      <c r="DR29" s="259">
        <f t="shared" si="106"/>
        <v>85.087568418347914</v>
      </c>
      <c r="DS29" s="253">
        <f t="shared" si="107"/>
        <v>10.841531826850451</v>
      </c>
      <c r="DT29" s="261">
        <f t="shared" si="63"/>
        <v>73.194214041406653</v>
      </c>
      <c r="DU29" s="253">
        <f t="shared" si="108"/>
        <v>21.093527317965012</v>
      </c>
      <c r="DV29" s="93">
        <f t="shared" si="109"/>
        <v>84.114318148605875</v>
      </c>
      <c r="DW29" s="251">
        <f t="shared" si="110"/>
        <v>24.014554741979747</v>
      </c>
      <c r="DX29" s="93">
        <f t="shared" si="111"/>
        <v>84.877681225657952</v>
      </c>
    </row>
    <row r="30" spans="1:128" ht="15.75" thickBot="1" x14ac:dyDescent="0.3">
      <c r="A30" s="201" t="s">
        <v>314</v>
      </c>
      <c r="B30" s="201"/>
      <c r="C30" s="12"/>
      <c r="L30" s="58">
        <v>26</v>
      </c>
      <c r="M30" s="62">
        <f t="shared" si="0"/>
        <v>34.08</v>
      </c>
      <c r="N30" s="42">
        <f t="shared" si="1"/>
        <v>4.2569917451968742E-4</v>
      </c>
      <c r="O30" s="19">
        <f t="shared" si="2"/>
        <v>3.8312925706771869E-4</v>
      </c>
      <c r="P30" s="43">
        <f t="shared" si="3"/>
        <v>3.4829932460701693E-4</v>
      </c>
      <c r="Q30" s="60">
        <f t="shared" si="4"/>
        <v>0.54487179487179493</v>
      </c>
      <c r="R30" s="63">
        <f t="shared" si="5"/>
        <v>0.22007042253521128</v>
      </c>
      <c r="S30" s="28">
        <f t="shared" si="6"/>
        <v>0.40389395194697592</v>
      </c>
      <c r="T30" s="12">
        <f t="shared" si="7"/>
        <v>0.38685897435897443</v>
      </c>
      <c r="U30" s="12">
        <f t="shared" si="64"/>
        <v>0.59732343912646313</v>
      </c>
      <c r="V30" s="55">
        <f t="shared" si="8"/>
        <v>0.59689971152267507</v>
      </c>
      <c r="W30" s="54">
        <f t="shared" si="65"/>
        <v>0.30932275374373219</v>
      </c>
      <c r="X30" s="55">
        <f t="shared" si="66"/>
        <v>0.21736967384798453</v>
      </c>
      <c r="Y30" s="54">
        <f t="shared" si="9"/>
        <v>0.76687188741051415</v>
      </c>
      <c r="Z30" s="55">
        <f t="shared" si="67"/>
        <v>0.58145721398961447</v>
      </c>
      <c r="AA30" s="54">
        <f t="shared" si="10"/>
        <v>0</v>
      </c>
      <c r="AB30" s="55">
        <f t="shared" si="68"/>
        <v>0</v>
      </c>
      <c r="AC30" s="54">
        <f t="shared" si="11"/>
        <v>0</v>
      </c>
      <c r="AD30" s="55">
        <f t="shared" si="69"/>
        <v>0</v>
      </c>
      <c r="AE30" s="54">
        <f t="shared" si="12"/>
        <v>0</v>
      </c>
      <c r="AF30" s="55">
        <f t="shared" si="70"/>
        <v>0</v>
      </c>
      <c r="AG30" s="54">
        <f t="shared" si="13"/>
        <v>0</v>
      </c>
      <c r="AH30" s="55">
        <f t="shared" si="71"/>
        <v>0</v>
      </c>
      <c r="AI30" s="54">
        <f t="shared" si="72"/>
        <v>0</v>
      </c>
      <c r="AJ30" s="177">
        <f t="shared" si="73"/>
        <v>0</v>
      </c>
      <c r="AK30" s="54">
        <f t="shared" si="14"/>
        <v>0</v>
      </c>
      <c r="AL30" s="55">
        <f t="shared" si="15"/>
        <v>0</v>
      </c>
      <c r="AM30" s="179">
        <f t="shared" si="16"/>
        <v>6.6945096146913158E-2</v>
      </c>
      <c r="AN30" s="52">
        <f t="shared" si="17"/>
        <v>0</v>
      </c>
      <c r="AO30" s="74">
        <f t="shared" si="74"/>
        <v>0</v>
      </c>
      <c r="AP30" s="78">
        <v>0</v>
      </c>
      <c r="AQ30" s="87">
        <f t="shared" si="18"/>
        <v>0</v>
      </c>
      <c r="AR30" s="46">
        <f t="shared" si="19"/>
        <v>166.23041885652313</v>
      </c>
      <c r="AS30" s="69">
        <f t="shared" si="20"/>
        <v>0.12467281414239235</v>
      </c>
      <c r="AT30" s="42">
        <f t="shared" si="21"/>
        <v>170.94117877734101</v>
      </c>
      <c r="AU30" s="79">
        <f t="shared" si="22"/>
        <v>0.12820588408300573</v>
      </c>
      <c r="AV30" s="83">
        <f t="shared" si="75"/>
        <v>5.2092409593459312E-3</v>
      </c>
      <c r="AW30" s="84">
        <f t="shared" si="76"/>
        <v>5.0821677921993698E-3</v>
      </c>
      <c r="AX30" s="42">
        <f t="shared" si="23"/>
        <v>2.639489953632148E-2</v>
      </c>
      <c r="AY30" s="43">
        <f t="shared" si="77"/>
        <v>3.5695669409683994E-2</v>
      </c>
      <c r="AZ30" s="85">
        <f t="shared" si="24"/>
        <v>0</v>
      </c>
      <c r="BA30" s="86">
        <f t="shared" si="78"/>
        <v>0</v>
      </c>
      <c r="BB30" s="85">
        <f t="shared" si="25"/>
        <v>0</v>
      </c>
      <c r="BC30" s="86">
        <f t="shared" si="79"/>
        <v>0</v>
      </c>
      <c r="BD30" s="85">
        <f t="shared" si="26"/>
        <v>0</v>
      </c>
      <c r="BE30" s="86">
        <f t="shared" si="80"/>
        <v>0</v>
      </c>
      <c r="BF30" s="85">
        <f t="shared" si="27"/>
        <v>0</v>
      </c>
      <c r="BG30" s="86">
        <f t="shared" si="81"/>
        <v>0</v>
      </c>
      <c r="BH30" s="85">
        <f t="shared" si="28"/>
        <v>0</v>
      </c>
      <c r="BI30" s="86">
        <f t="shared" si="82"/>
        <v>0</v>
      </c>
      <c r="BJ30" s="85">
        <f t="shared" si="29"/>
        <v>0</v>
      </c>
      <c r="BK30" s="207">
        <f t="shared" si="30"/>
        <v>0</v>
      </c>
      <c r="BL30" s="85">
        <f t="shared" si="83"/>
        <v>7.2381977697550781E-2</v>
      </c>
      <c r="BM30" s="176">
        <f t="shared" si="84"/>
        <v>7.2381977697550781E-2</v>
      </c>
      <c r="BN30" s="176">
        <f t="shared" si="85"/>
        <v>7.2381977697550781E-2</v>
      </c>
      <c r="BO30" s="176">
        <f t="shared" si="86"/>
        <v>0.19705479183994312</v>
      </c>
      <c r="BP30" s="86">
        <f t="shared" si="87"/>
        <v>0.20058786178055651</v>
      </c>
      <c r="BQ30" s="211">
        <f t="shared" si="88"/>
        <v>3.3901693612378501E-3</v>
      </c>
      <c r="BR30" s="237">
        <f t="shared" si="31"/>
        <v>2.5000000000000001E-3</v>
      </c>
      <c r="BS30" s="237">
        <f t="shared" si="32"/>
        <v>0</v>
      </c>
      <c r="BT30" s="237">
        <f t="shared" si="33"/>
        <v>0</v>
      </c>
      <c r="BU30" s="237">
        <f t="shared" si="34"/>
        <v>0</v>
      </c>
      <c r="BV30" s="237">
        <f t="shared" si="35"/>
        <v>0</v>
      </c>
      <c r="BW30" s="237">
        <f t="shared" si="36"/>
        <v>0</v>
      </c>
      <c r="BX30" s="212">
        <f t="shared" si="37"/>
        <v>0</v>
      </c>
      <c r="BY30" s="238">
        <f t="shared" si="89"/>
        <v>5.8901693612378502E-3</v>
      </c>
      <c r="BZ30" s="244">
        <f t="shared" si="90"/>
        <v>1.8403776532434043E-4</v>
      </c>
      <c r="CA30" s="243">
        <f t="shared" si="38"/>
        <v>6.1941176470588229E-2</v>
      </c>
      <c r="CB30" s="243">
        <f t="shared" si="39"/>
        <v>0.1008</v>
      </c>
      <c r="CC30" s="238">
        <f t="shared" si="91"/>
        <v>0.16292521423591258</v>
      </c>
      <c r="CD30" s="244">
        <f t="shared" si="40"/>
        <v>0.15</v>
      </c>
      <c r="CE30" s="243">
        <f t="shared" si="41"/>
        <v>0.09</v>
      </c>
      <c r="CF30" s="243">
        <f t="shared" si="42"/>
        <v>0</v>
      </c>
      <c r="CG30" s="243">
        <f t="shared" si="43"/>
        <v>0</v>
      </c>
      <c r="CH30" s="243">
        <f t="shared" si="44"/>
        <v>0</v>
      </c>
      <c r="CI30" s="243">
        <f t="shared" si="45"/>
        <v>0</v>
      </c>
      <c r="CJ30" s="243">
        <f t="shared" si="46"/>
        <v>0</v>
      </c>
      <c r="CK30" s="243">
        <f t="shared" si="47"/>
        <v>0</v>
      </c>
      <c r="CL30" s="243">
        <f t="shared" si="48"/>
        <v>0</v>
      </c>
      <c r="CM30" s="243">
        <f t="shared" si="49"/>
        <v>0</v>
      </c>
      <c r="CN30" s="243">
        <f t="shared" si="50"/>
        <v>0</v>
      </c>
      <c r="CO30" s="243">
        <f t="shared" si="51"/>
        <v>0</v>
      </c>
      <c r="CP30" s="243">
        <f t="shared" si="52"/>
        <v>0</v>
      </c>
      <c r="CQ30" s="243">
        <f t="shared" si="53"/>
        <v>0</v>
      </c>
      <c r="CR30" s="238">
        <f t="shared" si="54"/>
        <v>0.24</v>
      </c>
      <c r="CS30" s="246">
        <f t="shared" si="55"/>
        <v>2.532156253332607E-2</v>
      </c>
      <c r="CT30" s="188">
        <f t="shared" si="92"/>
        <v>0.43413694613047649</v>
      </c>
      <c r="CU30" s="206">
        <f t="shared" si="56"/>
        <v>7.9341369461304767</v>
      </c>
      <c r="CV30" s="227">
        <f t="shared" si="57"/>
        <v>0.94528239818923121</v>
      </c>
      <c r="CW30">
        <f t="shared" si="58"/>
        <v>74.08</v>
      </c>
      <c r="CX30">
        <f t="shared" si="59"/>
        <v>92.969025674445618</v>
      </c>
      <c r="DA30" s="22">
        <v>900</v>
      </c>
      <c r="DB30" s="22">
        <f t="shared" si="93"/>
        <v>5654.8667764616275</v>
      </c>
      <c r="DC30" s="253">
        <f t="shared" si="94"/>
        <v>-2.140263558998122</v>
      </c>
      <c r="DD30" s="93">
        <f t="shared" si="112"/>
        <v>-101.57616640626324</v>
      </c>
      <c r="DE30" s="253">
        <f t="shared" si="113"/>
        <v>8.0687348630426605</v>
      </c>
      <c r="DF30" s="93">
        <f t="shared" si="114"/>
        <v>-89.334471758496946</v>
      </c>
      <c r="DG30" s="251">
        <f t="shared" si="115"/>
        <v>10.989370906976317</v>
      </c>
      <c r="DH30" s="93">
        <f t="shared" si="116"/>
        <v>-88.349083222279546</v>
      </c>
      <c r="DI30" s="91">
        <f t="shared" si="100"/>
        <v>11.991350275904695</v>
      </c>
      <c r="DJ30" s="251">
        <f t="shared" si="101"/>
        <v>173.61949574364345</v>
      </c>
      <c r="DK30" s="92">
        <f t="shared" si="60"/>
        <v>11.994760916221626</v>
      </c>
      <c r="DL30" s="93">
        <f t="shared" si="61"/>
        <v>173.42228340046833</v>
      </c>
      <c r="DM30" s="253">
        <f t="shared" si="102"/>
        <v>9.8510867169065737</v>
      </c>
      <c r="DN30" s="262">
        <f t="shared" si="62"/>
        <v>72.043329337380186</v>
      </c>
      <c r="DO30" s="253">
        <f t="shared" si="103"/>
        <v>20.060085138947358</v>
      </c>
      <c r="DP30" s="259">
        <f t="shared" si="104"/>
        <v>84.285023985146509</v>
      </c>
      <c r="DQ30" s="251">
        <f t="shared" si="105"/>
        <v>22.980721182881013</v>
      </c>
      <c r="DR30" s="259">
        <f t="shared" si="106"/>
        <v>85.270412521363909</v>
      </c>
      <c r="DS30" s="253">
        <f t="shared" si="107"/>
        <v>9.8544973572235044</v>
      </c>
      <c r="DT30" s="261">
        <f t="shared" si="63"/>
        <v>71.846116994205033</v>
      </c>
      <c r="DU30" s="253">
        <f t="shared" si="108"/>
        <v>20.063495779264287</v>
      </c>
      <c r="DV30" s="93">
        <f t="shared" si="109"/>
        <v>84.087811641971385</v>
      </c>
      <c r="DW30" s="251">
        <f t="shared" si="110"/>
        <v>22.984131823197941</v>
      </c>
      <c r="DX30" s="93">
        <f t="shared" si="111"/>
        <v>85.073200178188785</v>
      </c>
    </row>
    <row r="31" spans="1:128" ht="15.75" thickBot="1" x14ac:dyDescent="0.3">
      <c r="A31" s="12" t="s">
        <v>148</v>
      </c>
      <c r="B31" s="8">
        <f>MAX(V4:V54)</f>
        <v>1.8628580061841289</v>
      </c>
      <c r="C31" s="12" t="s">
        <v>6</v>
      </c>
      <c r="L31" s="58">
        <v>27</v>
      </c>
      <c r="M31" s="62">
        <f t="shared" si="0"/>
        <v>35.160000000000004</v>
      </c>
      <c r="N31" s="42">
        <f t="shared" si="1"/>
        <v>4.4031464247278507E-4</v>
      </c>
      <c r="O31" s="19">
        <f t="shared" si="2"/>
        <v>3.9628317822550655E-4</v>
      </c>
      <c r="P31" s="43">
        <f t="shared" si="3"/>
        <v>3.6025743475046046E-4</v>
      </c>
      <c r="Q31" s="60">
        <f t="shared" si="4"/>
        <v>0.53712480252764605</v>
      </c>
      <c r="R31" s="63">
        <f t="shared" si="5"/>
        <v>0.21331058020477814</v>
      </c>
      <c r="S31" s="28">
        <f t="shared" si="6"/>
        <v>0.39713410961654289</v>
      </c>
      <c r="T31" s="12">
        <f t="shared" si="7"/>
        <v>0.39344391785150085</v>
      </c>
      <c r="U31" s="12">
        <f t="shared" si="64"/>
        <v>0.59385606854229334</v>
      </c>
      <c r="V31" s="55">
        <f t="shared" si="8"/>
        <v>0.58854032503701059</v>
      </c>
      <c r="W31" s="54">
        <f t="shared" si="65"/>
        <v>0.30272385599346502</v>
      </c>
      <c r="X31" s="55">
        <f t="shared" si="66"/>
        <v>0.21480300128315957</v>
      </c>
      <c r="Y31" s="54">
        <f t="shared" si="9"/>
        <v>0.7621772507827882</v>
      </c>
      <c r="Z31" s="55">
        <f t="shared" si="67"/>
        <v>0.57525138992514324</v>
      </c>
      <c r="AA31" s="54">
        <f t="shared" si="10"/>
        <v>0</v>
      </c>
      <c r="AB31" s="55">
        <f t="shared" si="68"/>
        <v>0</v>
      </c>
      <c r="AC31" s="54">
        <f t="shared" si="11"/>
        <v>0</v>
      </c>
      <c r="AD31" s="55">
        <f t="shared" si="69"/>
        <v>0</v>
      </c>
      <c r="AE31" s="54">
        <f t="shared" si="12"/>
        <v>0</v>
      </c>
      <c r="AF31" s="55">
        <f t="shared" si="70"/>
        <v>0</v>
      </c>
      <c r="AG31" s="54">
        <f t="shared" si="13"/>
        <v>0</v>
      </c>
      <c r="AH31" s="55">
        <f t="shared" si="71"/>
        <v>0</v>
      </c>
      <c r="AI31" s="54">
        <f t="shared" si="72"/>
        <v>0</v>
      </c>
      <c r="AJ31" s="177">
        <f t="shared" si="73"/>
        <v>0</v>
      </c>
      <c r="AK31" s="54">
        <f t="shared" si="14"/>
        <v>0</v>
      </c>
      <c r="AL31" s="55">
        <f t="shared" si="15"/>
        <v>0</v>
      </c>
      <c r="AM31" s="179">
        <f t="shared" si="16"/>
        <v>6.8084606160761549E-2</v>
      </c>
      <c r="AN31" s="52">
        <f t="shared" si="17"/>
        <v>0</v>
      </c>
      <c r="AO31" s="74">
        <f t="shared" si="74"/>
        <v>0</v>
      </c>
      <c r="AP31" s="78">
        <v>0</v>
      </c>
      <c r="AQ31" s="87">
        <f t="shared" si="18"/>
        <v>0</v>
      </c>
      <c r="AR31" s="46">
        <f t="shared" si="19"/>
        <v>173.86362277071572</v>
      </c>
      <c r="AS31" s="69">
        <f t="shared" si="20"/>
        <v>0.1303977170780368</v>
      </c>
      <c r="AT31" s="42">
        <f t="shared" si="21"/>
        <v>178.18817834597249</v>
      </c>
      <c r="AU31" s="79">
        <f t="shared" si="22"/>
        <v>0.13364113375947936</v>
      </c>
      <c r="AV31" s="83">
        <f t="shared" si="75"/>
        <v>4.8941343383965491E-3</v>
      </c>
      <c r="AW31" s="84">
        <f t="shared" si="76"/>
        <v>4.9628572374734274E-3</v>
      </c>
      <c r="AX31" s="42">
        <f t="shared" si="23"/>
        <v>2.639489953632148E-2</v>
      </c>
      <c r="AY31" s="43">
        <f t="shared" si="77"/>
        <v>3.4937784203453434E-2</v>
      </c>
      <c r="AZ31" s="85">
        <f t="shared" si="24"/>
        <v>0</v>
      </c>
      <c r="BA31" s="86">
        <f t="shared" si="78"/>
        <v>0</v>
      </c>
      <c r="BB31" s="85">
        <f t="shared" si="25"/>
        <v>0</v>
      </c>
      <c r="BC31" s="86">
        <f t="shared" si="79"/>
        <v>0</v>
      </c>
      <c r="BD31" s="85">
        <f t="shared" si="26"/>
        <v>0</v>
      </c>
      <c r="BE31" s="86">
        <f t="shared" si="80"/>
        <v>0</v>
      </c>
      <c r="BF31" s="85">
        <f t="shared" si="27"/>
        <v>0</v>
      </c>
      <c r="BG31" s="86">
        <f t="shared" si="81"/>
        <v>0</v>
      </c>
      <c r="BH31" s="85">
        <f t="shared" si="28"/>
        <v>0</v>
      </c>
      <c r="BI31" s="86">
        <f t="shared" si="82"/>
        <v>0</v>
      </c>
      <c r="BJ31" s="85">
        <f t="shared" si="29"/>
        <v>0</v>
      </c>
      <c r="BK31" s="207">
        <f t="shared" si="30"/>
        <v>0</v>
      </c>
      <c r="BL31" s="85">
        <f t="shared" si="83"/>
        <v>7.1189675315644893E-2</v>
      </c>
      <c r="BM31" s="176">
        <f t="shared" si="84"/>
        <v>7.1189675315644893E-2</v>
      </c>
      <c r="BN31" s="176">
        <f t="shared" si="85"/>
        <v>7.1189675315644893E-2</v>
      </c>
      <c r="BO31" s="176">
        <f t="shared" si="86"/>
        <v>0.20158739239368167</v>
      </c>
      <c r="BP31" s="86">
        <f t="shared" si="87"/>
        <v>0.20483080907512424</v>
      </c>
      <c r="BQ31" s="211">
        <f t="shared" si="88"/>
        <v>3.1850982539109365E-3</v>
      </c>
      <c r="BR31" s="237">
        <f t="shared" si="31"/>
        <v>2.5000000000000001E-3</v>
      </c>
      <c r="BS31" s="237">
        <f t="shared" si="32"/>
        <v>0</v>
      </c>
      <c r="BT31" s="237">
        <f t="shared" si="33"/>
        <v>0</v>
      </c>
      <c r="BU31" s="237">
        <f t="shared" si="34"/>
        <v>0</v>
      </c>
      <c r="BV31" s="237">
        <f t="shared" si="35"/>
        <v>0</v>
      </c>
      <c r="BW31" s="237">
        <f t="shared" si="36"/>
        <v>0</v>
      </c>
      <c r="BX31" s="212">
        <f t="shared" si="37"/>
        <v>0</v>
      </c>
      <c r="BY31" s="238">
        <f t="shared" si="89"/>
        <v>5.685098253910937E-3</v>
      </c>
      <c r="BZ31" s="244">
        <f t="shared" si="90"/>
        <v>1.7290533378373654E-4</v>
      </c>
      <c r="CA31" s="243">
        <f t="shared" si="38"/>
        <v>6.2834558823529424E-2</v>
      </c>
      <c r="CB31" s="243">
        <f t="shared" si="39"/>
        <v>0.1008</v>
      </c>
      <c r="CC31" s="238">
        <f t="shared" si="91"/>
        <v>0.16380746415731318</v>
      </c>
      <c r="CD31" s="244">
        <f t="shared" si="40"/>
        <v>0.15</v>
      </c>
      <c r="CE31" s="243">
        <f t="shared" si="41"/>
        <v>0.09</v>
      </c>
      <c r="CF31" s="243">
        <f t="shared" si="42"/>
        <v>0</v>
      </c>
      <c r="CG31" s="243">
        <f t="shared" si="43"/>
        <v>0</v>
      </c>
      <c r="CH31" s="243">
        <f t="shared" si="44"/>
        <v>0</v>
      </c>
      <c r="CI31" s="243">
        <f t="shared" si="45"/>
        <v>0</v>
      </c>
      <c r="CJ31" s="243">
        <f t="shared" si="46"/>
        <v>0</v>
      </c>
      <c r="CK31" s="243">
        <f t="shared" si="47"/>
        <v>0</v>
      </c>
      <c r="CL31" s="243">
        <f t="shared" si="48"/>
        <v>0</v>
      </c>
      <c r="CM31" s="243">
        <f t="shared" si="49"/>
        <v>0</v>
      </c>
      <c r="CN31" s="243">
        <f t="shared" si="50"/>
        <v>0</v>
      </c>
      <c r="CO31" s="243">
        <f t="shared" si="51"/>
        <v>0</v>
      </c>
      <c r="CP31" s="243">
        <f t="shared" si="52"/>
        <v>0</v>
      </c>
      <c r="CQ31" s="243">
        <f t="shared" si="53"/>
        <v>0</v>
      </c>
      <c r="CR31" s="238">
        <f t="shared" si="54"/>
        <v>0.24</v>
      </c>
      <c r="CS31" s="246">
        <f t="shared" si="55"/>
        <v>2.4626235269043343E-2</v>
      </c>
      <c r="CT31" s="188">
        <f t="shared" si="92"/>
        <v>0.43411879768026745</v>
      </c>
      <c r="CU31" s="206">
        <f t="shared" si="56"/>
        <v>7.9341187976802674</v>
      </c>
      <c r="CV31" s="227">
        <f t="shared" si="57"/>
        <v>0.94528456042185904</v>
      </c>
      <c r="CW31">
        <f t="shared" si="58"/>
        <v>75.16</v>
      </c>
      <c r="CX31">
        <f t="shared" si="59"/>
        <v>93.939377789067152</v>
      </c>
      <c r="DA31" s="22">
        <v>1000</v>
      </c>
      <c r="DB31" s="22">
        <f t="shared" si="93"/>
        <v>6283.1853071795858</v>
      </c>
      <c r="DC31" s="253">
        <f t="shared" si="94"/>
        <v>-3.0067137038183689</v>
      </c>
      <c r="DD31" s="93">
        <f t="shared" si="112"/>
        <v>-103.21325387501324</v>
      </c>
      <c r="DE31" s="253">
        <f t="shared" si="113"/>
        <v>7.1547534119366318</v>
      </c>
      <c r="DF31" s="93">
        <f t="shared" si="114"/>
        <v>-89.664606876518931</v>
      </c>
      <c r="DG31" s="251">
        <f t="shared" si="115"/>
        <v>10.075177922720325</v>
      </c>
      <c r="DH31" s="93">
        <f t="shared" si="116"/>
        <v>-88.469118966598359</v>
      </c>
      <c r="DI31" s="91">
        <f t="shared" si="100"/>
        <v>11.985226036994717</v>
      </c>
      <c r="DJ31" s="251">
        <f t="shared" si="101"/>
        <v>173.84824233522409</v>
      </c>
      <c r="DK31" s="92">
        <f t="shared" si="60"/>
        <v>11.98824194548429</v>
      </c>
      <c r="DL31" s="93">
        <f t="shared" si="61"/>
        <v>173.66013573997554</v>
      </c>
      <c r="DM31" s="253">
        <f t="shared" si="102"/>
        <v>8.978512333176349</v>
      </c>
      <c r="DN31" s="262">
        <f t="shared" si="62"/>
        <v>70.634988460210849</v>
      </c>
      <c r="DO31" s="253">
        <f t="shared" si="103"/>
        <v>19.139979448931349</v>
      </c>
      <c r="DP31" s="259">
        <f t="shared" si="104"/>
        <v>84.183635458705155</v>
      </c>
      <c r="DQ31" s="251">
        <f t="shared" si="105"/>
        <v>22.060403959715043</v>
      </c>
      <c r="DR31" s="259">
        <f t="shared" si="106"/>
        <v>85.379123368625727</v>
      </c>
      <c r="DS31" s="253">
        <f t="shared" si="107"/>
        <v>8.9815282416659219</v>
      </c>
      <c r="DT31" s="261">
        <f t="shared" si="63"/>
        <v>70.446881864962293</v>
      </c>
      <c r="DU31" s="253">
        <f t="shared" si="108"/>
        <v>19.142995357420922</v>
      </c>
      <c r="DV31" s="93">
        <f t="shared" si="109"/>
        <v>83.995528863456613</v>
      </c>
      <c r="DW31" s="251">
        <f t="shared" si="110"/>
        <v>22.063419868204615</v>
      </c>
      <c r="DX31" s="93">
        <f t="shared" si="111"/>
        <v>85.191016773377186</v>
      </c>
    </row>
    <row r="32" spans="1:128" ht="15.75" thickBot="1" x14ac:dyDescent="0.3">
      <c r="A32" s="12" t="s">
        <v>169</v>
      </c>
      <c r="B32" s="8">
        <f>VLOOKUP(ILrms_Total_Max_FB_CCM,V4:AL54,2,FALSE)</f>
        <v>1.3390825797136774</v>
      </c>
      <c r="C32" s="12" t="s">
        <v>6</v>
      </c>
      <c r="L32" s="58">
        <v>28</v>
      </c>
      <c r="M32" s="62">
        <f t="shared" si="0"/>
        <v>36.24</v>
      </c>
      <c r="N32" s="42">
        <f t="shared" si="1"/>
        <v>4.5475673221770428E-4</v>
      </c>
      <c r="O32" s="19">
        <f t="shared" si="2"/>
        <v>4.0928105899593384E-4</v>
      </c>
      <c r="P32" s="43">
        <f t="shared" si="3"/>
        <v>3.7207368999630342E-4</v>
      </c>
      <c r="Q32" s="60">
        <f t="shared" si="4"/>
        <v>0.52959501557632405</v>
      </c>
      <c r="R32" s="63">
        <f t="shared" si="5"/>
        <v>0.20695364238410596</v>
      </c>
      <c r="S32" s="28">
        <f t="shared" si="6"/>
        <v>0.39077717179587057</v>
      </c>
      <c r="T32" s="12">
        <f t="shared" si="7"/>
        <v>0.39984423676012476</v>
      </c>
      <c r="U32" s="12">
        <f t="shared" si="64"/>
        <v>0.59069929017593292</v>
      </c>
      <c r="V32" s="55">
        <f t="shared" si="8"/>
        <v>0.58071040763208759</v>
      </c>
      <c r="W32" s="54">
        <f t="shared" si="65"/>
        <v>0.29652744827384386</v>
      </c>
      <c r="X32" s="55">
        <f t="shared" si="66"/>
        <v>0.21236458622790366</v>
      </c>
      <c r="Y32" s="54">
        <f t="shared" si="9"/>
        <v>0.75782122495531656</v>
      </c>
      <c r="Z32" s="55">
        <f t="shared" si="67"/>
        <v>0.56946730283026481</v>
      </c>
      <c r="AA32" s="54">
        <f t="shared" si="10"/>
        <v>0</v>
      </c>
      <c r="AB32" s="55">
        <f t="shared" si="68"/>
        <v>0</v>
      </c>
      <c r="AC32" s="54">
        <f t="shared" si="11"/>
        <v>0</v>
      </c>
      <c r="AD32" s="55">
        <f t="shared" si="69"/>
        <v>0</v>
      </c>
      <c r="AE32" s="54">
        <f t="shared" si="12"/>
        <v>0</v>
      </c>
      <c r="AF32" s="55">
        <f t="shared" si="70"/>
        <v>0</v>
      </c>
      <c r="AG32" s="54">
        <f t="shared" si="13"/>
        <v>0</v>
      </c>
      <c r="AH32" s="55">
        <f t="shared" si="71"/>
        <v>0</v>
      </c>
      <c r="AI32" s="54">
        <f t="shared" si="72"/>
        <v>0</v>
      </c>
      <c r="AJ32" s="177">
        <f t="shared" si="73"/>
        <v>0</v>
      </c>
      <c r="AK32" s="54">
        <f t="shared" si="14"/>
        <v>0</v>
      </c>
      <c r="AL32" s="55">
        <f t="shared" si="15"/>
        <v>0</v>
      </c>
      <c r="AM32" s="179">
        <f t="shared" si="16"/>
        <v>6.9192167295717019E-2</v>
      </c>
      <c r="AN32" s="52">
        <f t="shared" si="17"/>
        <v>0</v>
      </c>
      <c r="AO32" s="74">
        <f t="shared" si="74"/>
        <v>0</v>
      </c>
      <c r="AP32" s="78">
        <v>0</v>
      </c>
      <c r="AQ32" s="87">
        <f t="shared" si="18"/>
        <v>0</v>
      </c>
      <c r="AR32" s="46">
        <f t="shared" si="19"/>
        <v>181.48887844471602</v>
      </c>
      <c r="AS32" s="69">
        <f t="shared" si="20"/>
        <v>0.13611665883353702</v>
      </c>
      <c r="AT32" s="42">
        <f t="shared" si="21"/>
        <v>185.40377782560432</v>
      </c>
      <c r="AU32" s="79">
        <f t="shared" si="22"/>
        <v>0.13905283336920327</v>
      </c>
      <c r="AV32" s="83">
        <f t="shared" si="75"/>
        <v>4.6067775406452068E-3</v>
      </c>
      <c r="AW32" s="84">
        <f t="shared" si="76"/>
        <v>4.8508213870228061E-3</v>
      </c>
      <c r="AX32" s="42">
        <f t="shared" si="23"/>
        <v>2.639489953632148E-2</v>
      </c>
      <c r="AY32" s="43">
        <f t="shared" si="77"/>
        <v>3.4238725570782939E-2</v>
      </c>
      <c r="AZ32" s="85">
        <f t="shared" si="24"/>
        <v>0</v>
      </c>
      <c r="BA32" s="86">
        <f t="shared" si="78"/>
        <v>0</v>
      </c>
      <c r="BB32" s="85">
        <f t="shared" si="25"/>
        <v>0</v>
      </c>
      <c r="BC32" s="86">
        <f t="shared" si="79"/>
        <v>0</v>
      </c>
      <c r="BD32" s="85">
        <f t="shared" si="26"/>
        <v>0</v>
      </c>
      <c r="BE32" s="86">
        <f t="shared" si="80"/>
        <v>0</v>
      </c>
      <c r="BF32" s="85">
        <f t="shared" si="27"/>
        <v>0</v>
      </c>
      <c r="BG32" s="86">
        <f t="shared" si="81"/>
        <v>0</v>
      </c>
      <c r="BH32" s="85">
        <f t="shared" si="28"/>
        <v>0</v>
      </c>
      <c r="BI32" s="86">
        <f t="shared" si="82"/>
        <v>0</v>
      </c>
      <c r="BJ32" s="85">
        <f t="shared" si="29"/>
        <v>0</v>
      </c>
      <c r="BK32" s="207">
        <f t="shared" si="30"/>
        <v>0</v>
      </c>
      <c r="BL32" s="85">
        <f t="shared" si="83"/>
        <v>7.0091224034772442E-2</v>
      </c>
      <c r="BM32" s="176">
        <f t="shared" si="84"/>
        <v>7.0091224034772442E-2</v>
      </c>
      <c r="BN32" s="176">
        <f t="shared" si="85"/>
        <v>7.0091224034772442E-2</v>
      </c>
      <c r="BO32" s="176">
        <f t="shared" si="86"/>
        <v>0.20620788286830946</v>
      </c>
      <c r="BP32" s="86">
        <f t="shared" si="87"/>
        <v>0.20914405740397571</v>
      </c>
      <c r="BQ32" s="211">
        <f t="shared" si="88"/>
        <v>2.9980867067233899E-3</v>
      </c>
      <c r="BR32" s="237">
        <f t="shared" si="31"/>
        <v>2.5000000000000001E-3</v>
      </c>
      <c r="BS32" s="237">
        <f t="shared" si="32"/>
        <v>0</v>
      </c>
      <c r="BT32" s="237">
        <f t="shared" si="33"/>
        <v>0</v>
      </c>
      <c r="BU32" s="237">
        <f t="shared" si="34"/>
        <v>0</v>
      </c>
      <c r="BV32" s="237">
        <f t="shared" si="35"/>
        <v>0</v>
      </c>
      <c r="BW32" s="237">
        <f t="shared" si="36"/>
        <v>0</v>
      </c>
      <c r="BX32" s="212">
        <f t="shared" si="37"/>
        <v>0</v>
      </c>
      <c r="BY32" s="238">
        <f t="shared" si="89"/>
        <v>5.49808670672339E-3</v>
      </c>
      <c r="BZ32" s="244">
        <f t="shared" si="90"/>
        <v>1.62753278364984E-4</v>
      </c>
      <c r="CA32" s="243">
        <f t="shared" si="38"/>
        <v>6.3727941176470584E-2</v>
      </c>
      <c r="CB32" s="243">
        <f t="shared" si="39"/>
        <v>0.1008</v>
      </c>
      <c r="CC32" s="238">
        <f t="shared" si="91"/>
        <v>0.16469069445483558</v>
      </c>
      <c r="CD32" s="244">
        <f t="shared" si="40"/>
        <v>0.15</v>
      </c>
      <c r="CE32" s="243">
        <f t="shared" si="41"/>
        <v>0.09</v>
      </c>
      <c r="CF32" s="243">
        <f t="shared" si="42"/>
        <v>0</v>
      </c>
      <c r="CG32" s="243">
        <f t="shared" si="43"/>
        <v>0</v>
      </c>
      <c r="CH32" s="243">
        <f t="shared" si="44"/>
        <v>0</v>
      </c>
      <c r="CI32" s="243">
        <f t="shared" si="45"/>
        <v>0</v>
      </c>
      <c r="CJ32" s="243">
        <f t="shared" si="46"/>
        <v>0</v>
      </c>
      <c r="CK32" s="243">
        <f t="shared" si="47"/>
        <v>0</v>
      </c>
      <c r="CL32" s="243">
        <f t="shared" si="48"/>
        <v>0</v>
      </c>
      <c r="CM32" s="243">
        <f t="shared" si="49"/>
        <v>0</v>
      </c>
      <c r="CN32" s="243">
        <f t="shared" si="50"/>
        <v>0</v>
      </c>
      <c r="CO32" s="243">
        <f t="shared" si="51"/>
        <v>0</v>
      </c>
      <c r="CP32" s="243">
        <f t="shared" si="52"/>
        <v>0</v>
      </c>
      <c r="CQ32" s="243">
        <f t="shared" si="53"/>
        <v>0</v>
      </c>
      <c r="CR32" s="238">
        <f t="shared" si="54"/>
        <v>0.24</v>
      </c>
      <c r="CS32" s="246">
        <f t="shared" si="55"/>
        <v>2.3955524657839934E-2</v>
      </c>
      <c r="CT32" s="188">
        <f t="shared" si="92"/>
        <v>0.43414430581939895</v>
      </c>
      <c r="CU32" s="206">
        <f t="shared" si="56"/>
        <v>7.934144305819399</v>
      </c>
      <c r="CV32" s="227">
        <f t="shared" si="57"/>
        <v>0.94528152134805887</v>
      </c>
      <c r="CW32">
        <f t="shared" si="58"/>
        <v>76.240000000000009</v>
      </c>
      <c r="CX32">
        <f t="shared" si="59"/>
        <v>94.919551692006721</v>
      </c>
      <c r="DA32" s="22">
        <v>2000</v>
      </c>
      <c r="DB32" s="22">
        <f t="shared" si="93"/>
        <v>12566.370614359172</v>
      </c>
      <c r="DC32" s="253">
        <f t="shared" si="94"/>
        <v>-8.3347488893702621</v>
      </c>
      <c r="DD32" s="93">
        <f t="shared" si="112"/>
        <v>-117.49685110634275</v>
      </c>
      <c r="DE32" s="253">
        <f t="shared" si="113"/>
        <v>1.1410016438174821</v>
      </c>
      <c r="DF32" s="93">
        <f t="shared" si="114"/>
        <v>-91.912314774703859</v>
      </c>
      <c r="DG32" s="251">
        <f t="shared" si="115"/>
        <v>4.0631328072687953</v>
      </c>
      <c r="DH32" s="93">
        <f t="shared" si="116"/>
        <v>-88.880989327168393</v>
      </c>
      <c r="DI32" s="91">
        <f t="shared" si="100"/>
        <v>11.951062007922573</v>
      </c>
      <c r="DJ32" s="251">
        <f t="shared" si="101"/>
        <v>173.7071754506614</v>
      </c>
      <c r="DK32" s="92">
        <f t="shared" si="60"/>
        <v>11.952056754648785</v>
      </c>
      <c r="DL32" s="93">
        <f t="shared" si="61"/>
        <v>173.53068100915348</v>
      </c>
      <c r="DM32" s="253">
        <f t="shared" si="102"/>
        <v>3.616313118552311</v>
      </c>
      <c r="DN32" s="262">
        <f t="shared" si="62"/>
        <v>56.210324344318629</v>
      </c>
      <c r="DO32" s="253">
        <f t="shared" si="103"/>
        <v>13.092063651740055</v>
      </c>
      <c r="DP32" s="259">
        <f t="shared" si="104"/>
        <v>81.794860675957537</v>
      </c>
      <c r="DQ32" s="251">
        <f t="shared" si="105"/>
        <v>16.014194815191367</v>
      </c>
      <c r="DR32" s="259">
        <f t="shared" si="106"/>
        <v>84.826186123493002</v>
      </c>
      <c r="DS32" s="253">
        <f t="shared" si="107"/>
        <v>3.6173078652785229</v>
      </c>
      <c r="DT32" s="261">
        <f t="shared" si="63"/>
        <v>56.033829902810716</v>
      </c>
      <c r="DU32" s="253">
        <f t="shared" si="108"/>
        <v>13.093058398466267</v>
      </c>
      <c r="DV32" s="93">
        <f t="shared" si="109"/>
        <v>81.618366234449624</v>
      </c>
      <c r="DW32" s="251">
        <f t="shared" si="110"/>
        <v>16.01518956191758</v>
      </c>
      <c r="DX32" s="93">
        <f t="shared" si="111"/>
        <v>84.64969168198509</v>
      </c>
    </row>
    <row r="33" spans="1:128" ht="15.75" thickBot="1" x14ac:dyDescent="0.3">
      <c r="A33" s="12" t="s">
        <v>170</v>
      </c>
      <c r="B33" s="8">
        <f>VLOOKUP(ILrms_Total_Max_FB_CCM,V4:AL54,4,FALSE)</f>
        <v>1.3967344705878706</v>
      </c>
      <c r="C33" s="12" t="s">
        <v>6</v>
      </c>
      <c r="L33" s="58">
        <v>29</v>
      </c>
      <c r="M33" s="62">
        <f t="shared" si="0"/>
        <v>37.32</v>
      </c>
      <c r="N33" s="42">
        <f t="shared" si="1"/>
        <v>4.6902296544316257E-4</v>
      </c>
      <c r="O33" s="19">
        <f t="shared" si="2"/>
        <v>4.2212066889884631E-4</v>
      </c>
      <c r="P33" s="43">
        <f t="shared" si="3"/>
        <v>3.8374606263531482E-4</v>
      </c>
      <c r="Q33" s="60">
        <f t="shared" si="4"/>
        <v>0.52227342549923195</v>
      </c>
      <c r="R33" s="63">
        <f t="shared" si="5"/>
        <v>0.20096463022508038</v>
      </c>
      <c r="S33" s="28">
        <f t="shared" si="6"/>
        <v>0.3847881596368451</v>
      </c>
      <c r="T33" s="12">
        <f t="shared" si="7"/>
        <v>0.40606758832565287</v>
      </c>
      <c r="U33" s="12">
        <f t="shared" si="64"/>
        <v>0.5878219537996715</v>
      </c>
      <c r="V33" s="55">
        <f t="shared" si="8"/>
        <v>0.57336427388293398</v>
      </c>
      <c r="W33" s="54">
        <f t="shared" si="65"/>
        <v>0.29069798913024991</v>
      </c>
      <c r="X33" s="55">
        <f t="shared" si="66"/>
        <v>0.2100441341310621</v>
      </c>
      <c r="Y33" s="54">
        <f t="shared" si="9"/>
        <v>0.75377675934049082</v>
      </c>
      <c r="Z33" s="55">
        <f t="shared" si="67"/>
        <v>0.56407393391456428</v>
      </c>
      <c r="AA33" s="54">
        <f t="shared" si="10"/>
        <v>0</v>
      </c>
      <c r="AB33" s="55">
        <f t="shared" si="68"/>
        <v>0</v>
      </c>
      <c r="AC33" s="54">
        <f t="shared" si="11"/>
        <v>0</v>
      </c>
      <c r="AD33" s="55">
        <f t="shared" si="69"/>
        <v>0</v>
      </c>
      <c r="AE33" s="54">
        <f t="shared" si="12"/>
        <v>0</v>
      </c>
      <c r="AF33" s="55">
        <f t="shared" si="70"/>
        <v>0</v>
      </c>
      <c r="AG33" s="54">
        <f t="shared" si="13"/>
        <v>0</v>
      </c>
      <c r="AH33" s="55">
        <f t="shared" si="71"/>
        <v>0</v>
      </c>
      <c r="AI33" s="54">
        <f t="shared" si="72"/>
        <v>0</v>
      </c>
      <c r="AJ33" s="177">
        <f t="shared" si="73"/>
        <v>0</v>
      </c>
      <c r="AK33" s="54">
        <f t="shared" si="14"/>
        <v>0</v>
      </c>
      <c r="AL33" s="55">
        <f t="shared" si="15"/>
        <v>0</v>
      </c>
      <c r="AM33" s="179">
        <f t="shared" si="16"/>
        <v>7.0269104620489339E-2</v>
      </c>
      <c r="AN33" s="52">
        <f t="shared" si="17"/>
        <v>0</v>
      </c>
      <c r="AO33" s="74">
        <f t="shared" si="74"/>
        <v>0</v>
      </c>
      <c r="AP33" s="78">
        <v>0</v>
      </c>
      <c r="AQ33" s="87">
        <f t="shared" si="18"/>
        <v>0</v>
      </c>
      <c r="AR33" s="46">
        <f t="shared" si="19"/>
        <v>189.10017399032421</v>
      </c>
      <c r="AS33" s="69">
        <f t="shared" si="20"/>
        <v>0.14182513049274315</v>
      </c>
      <c r="AT33" s="42">
        <f t="shared" si="21"/>
        <v>192.58346381284514</v>
      </c>
      <c r="AU33" s="79">
        <f t="shared" si="22"/>
        <v>0.14443759785963386</v>
      </c>
      <c r="AV33" s="83">
        <f t="shared" si="75"/>
        <v>4.3440053227014339E-3</v>
      </c>
      <c r="AW33" s="84">
        <f t="shared" si="76"/>
        <v>4.7453932397043715E-3</v>
      </c>
      <c r="AX33" s="42">
        <f t="shared" si="23"/>
        <v>2.639489953632148E-2</v>
      </c>
      <c r="AY33" s="43">
        <f t="shared" si="77"/>
        <v>3.3593253498596175E-2</v>
      </c>
      <c r="AZ33" s="85">
        <f t="shared" si="24"/>
        <v>0</v>
      </c>
      <c r="BA33" s="86">
        <f t="shared" si="78"/>
        <v>0</v>
      </c>
      <c r="BB33" s="85">
        <f t="shared" si="25"/>
        <v>0</v>
      </c>
      <c r="BC33" s="86">
        <f t="shared" si="79"/>
        <v>0</v>
      </c>
      <c r="BD33" s="85">
        <f t="shared" si="26"/>
        <v>0</v>
      </c>
      <c r="BE33" s="86">
        <f t="shared" si="80"/>
        <v>0</v>
      </c>
      <c r="BF33" s="85">
        <f t="shared" si="27"/>
        <v>0</v>
      </c>
      <c r="BG33" s="86">
        <f t="shared" si="81"/>
        <v>0</v>
      </c>
      <c r="BH33" s="85">
        <f t="shared" si="28"/>
        <v>0</v>
      </c>
      <c r="BI33" s="86">
        <f t="shared" si="82"/>
        <v>0</v>
      </c>
      <c r="BJ33" s="85">
        <f t="shared" si="29"/>
        <v>0</v>
      </c>
      <c r="BK33" s="207">
        <f t="shared" si="30"/>
        <v>0</v>
      </c>
      <c r="BL33" s="85">
        <f t="shared" si="83"/>
        <v>6.9077551597323456E-2</v>
      </c>
      <c r="BM33" s="176">
        <f t="shared" si="84"/>
        <v>6.9077551597323456E-2</v>
      </c>
      <c r="BN33" s="176">
        <f t="shared" si="85"/>
        <v>6.9077551597323456E-2</v>
      </c>
      <c r="BO33" s="176">
        <f t="shared" si="86"/>
        <v>0.2109026820900666</v>
      </c>
      <c r="BP33" s="86">
        <f t="shared" si="87"/>
        <v>0.21351514945695732</v>
      </c>
      <c r="BQ33" s="211">
        <f t="shared" si="88"/>
        <v>2.8270747821052306E-3</v>
      </c>
      <c r="BR33" s="237">
        <f t="shared" si="31"/>
        <v>2.5000000000000001E-3</v>
      </c>
      <c r="BS33" s="237">
        <f t="shared" si="32"/>
        <v>0</v>
      </c>
      <c r="BT33" s="237">
        <f t="shared" si="33"/>
        <v>0</v>
      </c>
      <c r="BU33" s="237">
        <f t="shared" si="34"/>
        <v>0</v>
      </c>
      <c r="BV33" s="237">
        <f t="shared" si="35"/>
        <v>0</v>
      </c>
      <c r="BW33" s="237">
        <f t="shared" si="36"/>
        <v>0</v>
      </c>
      <c r="BX33" s="212">
        <f t="shared" si="37"/>
        <v>0</v>
      </c>
      <c r="BY33" s="238">
        <f t="shared" si="89"/>
        <v>5.3270747821052306E-3</v>
      </c>
      <c r="BZ33" s="244">
        <f t="shared" si="90"/>
        <v>1.534697738857125E-4</v>
      </c>
      <c r="CA33" s="243">
        <f t="shared" si="38"/>
        <v>6.4621323529411773E-2</v>
      </c>
      <c r="CB33" s="243">
        <f t="shared" si="39"/>
        <v>0.1008</v>
      </c>
      <c r="CC33" s="238">
        <f t="shared" si="91"/>
        <v>0.1655747933032975</v>
      </c>
      <c r="CD33" s="244">
        <f t="shared" si="40"/>
        <v>0.15</v>
      </c>
      <c r="CE33" s="243">
        <f t="shared" si="41"/>
        <v>0.09</v>
      </c>
      <c r="CF33" s="243">
        <f t="shared" si="42"/>
        <v>0</v>
      </c>
      <c r="CG33" s="243">
        <f t="shared" si="43"/>
        <v>0</v>
      </c>
      <c r="CH33" s="243">
        <f t="shared" si="44"/>
        <v>0</v>
      </c>
      <c r="CI33" s="243">
        <f t="shared" si="45"/>
        <v>0</v>
      </c>
      <c r="CJ33" s="243">
        <f t="shared" si="46"/>
        <v>0</v>
      </c>
      <c r="CK33" s="243">
        <f t="shared" si="47"/>
        <v>0</v>
      </c>
      <c r="CL33" s="243">
        <f t="shared" si="48"/>
        <v>0</v>
      </c>
      <c r="CM33" s="243">
        <f t="shared" si="49"/>
        <v>0</v>
      </c>
      <c r="CN33" s="243">
        <f t="shared" si="50"/>
        <v>0</v>
      </c>
      <c r="CO33" s="243">
        <f t="shared" si="51"/>
        <v>0</v>
      </c>
      <c r="CP33" s="243">
        <f t="shared" si="52"/>
        <v>0</v>
      </c>
      <c r="CQ33" s="243">
        <f t="shared" si="53"/>
        <v>0</v>
      </c>
      <c r="CR33" s="238">
        <f t="shared" si="54"/>
        <v>0.24</v>
      </c>
      <c r="CS33" s="246">
        <f t="shared" si="55"/>
        <v>2.3305047484950013E-2</v>
      </c>
      <c r="CT33" s="188">
        <f t="shared" si="92"/>
        <v>0.43420691557035274</v>
      </c>
      <c r="CU33" s="206">
        <f t="shared" si="56"/>
        <v>7.9342069155703525</v>
      </c>
      <c r="CV33" s="227">
        <f t="shared" si="57"/>
        <v>0.9452740620214668</v>
      </c>
      <c r="CW33">
        <f t="shared" si="58"/>
        <v>77.319999999999993</v>
      </c>
      <c r="CX33">
        <f t="shared" si="59"/>
        <v>95.908562326572294</v>
      </c>
      <c r="DA33" s="22">
        <v>3000</v>
      </c>
      <c r="DB33" s="22">
        <f t="shared" si="93"/>
        <v>18849.555921538758</v>
      </c>
      <c r="DC33" s="253">
        <f t="shared" si="94"/>
        <v>-10.913442755523327</v>
      </c>
      <c r="DD33" s="93">
        <f t="shared" si="112"/>
        <v>-128.96691576033911</v>
      </c>
      <c r="DE33" s="253">
        <f t="shared" si="113"/>
        <v>-2.3737652707254981</v>
      </c>
      <c r="DF33" s="93">
        <f t="shared" si="114"/>
        <v>-93.581565774265229</v>
      </c>
      <c r="DG33" s="251">
        <f t="shared" si="115"/>
        <v>0.55304355494275714</v>
      </c>
      <c r="DH33" s="93">
        <f t="shared" si="116"/>
        <v>-88.866231808770408</v>
      </c>
      <c r="DI33" s="91">
        <f t="shared" si="100"/>
        <v>11.917864469490329</v>
      </c>
      <c r="DJ33" s="251">
        <f t="shared" si="101"/>
        <v>172.24607817883899</v>
      </c>
      <c r="DK33" s="92">
        <f t="shared" si="60"/>
        <v>11.917100185900553</v>
      </c>
      <c r="DL33" s="93">
        <f t="shared" si="61"/>
        <v>172.0381029750061</v>
      </c>
      <c r="DM33" s="253">
        <f t="shared" si="102"/>
        <v>1.0044217139670018</v>
      </c>
      <c r="DN33" s="262">
        <f t="shared" si="62"/>
        <v>43.279162418499894</v>
      </c>
      <c r="DO33" s="253">
        <f t="shared" si="103"/>
        <v>9.5440991987648314</v>
      </c>
      <c r="DP33" s="259">
        <f t="shared" si="104"/>
        <v>78.664512404573756</v>
      </c>
      <c r="DQ33" s="251">
        <f t="shared" si="105"/>
        <v>12.470908024433086</v>
      </c>
      <c r="DR33" s="259">
        <f t="shared" si="106"/>
        <v>83.379846370068577</v>
      </c>
      <c r="DS33" s="253">
        <f t="shared" si="107"/>
        <v>1.0036574303772259</v>
      </c>
      <c r="DT33" s="261">
        <f t="shared" si="63"/>
        <v>43.071187214666999</v>
      </c>
      <c r="DU33" s="253">
        <f t="shared" si="108"/>
        <v>9.5433349151750555</v>
      </c>
      <c r="DV33" s="93">
        <f t="shared" si="109"/>
        <v>78.456537200740868</v>
      </c>
      <c r="DW33" s="251">
        <f t="shared" si="110"/>
        <v>12.47014374084331</v>
      </c>
      <c r="DX33" s="93">
        <f t="shared" si="111"/>
        <v>83.17187116623569</v>
      </c>
    </row>
    <row r="34" spans="1:128" ht="15.75" thickBot="1" x14ac:dyDescent="0.3">
      <c r="A34" s="12" t="s">
        <v>171</v>
      </c>
      <c r="B34" s="8">
        <f>VLOOKUP(ILrms_Total_Max_FB_CCM,V4:AL54,6,FALSE)</f>
        <v>0</v>
      </c>
      <c r="C34" s="12" t="s">
        <v>6</v>
      </c>
      <c r="L34" s="58">
        <v>30</v>
      </c>
      <c r="M34" s="62">
        <f t="shared" si="0"/>
        <v>38.400000000000006</v>
      </c>
      <c r="N34" s="42">
        <f t="shared" si="1"/>
        <v>4.8311151923273145E-4</v>
      </c>
      <c r="O34" s="19">
        <f t="shared" si="2"/>
        <v>4.3480036730945829E-4</v>
      </c>
      <c r="P34" s="43">
        <f t="shared" si="3"/>
        <v>3.9527306119041658E-4</v>
      </c>
      <c r="Q34" s="60">
        <f t="shared" si="4"/>
        <v>0.51515151515151514</v>
      </c>
      <c r="R34" s="63">
        <f t="shared" si="5"/>
        <v>0.19531249999999997</v>
      </c>
      <c r="S34" s="28">
        <f t="shared" si="6"/>
        <v>0.37913602941176466</v>
      </c>
      <c r="T34" s="12">
        <f t="shared" si="7"/>
        <v>0.41212121212121222</v>
      </c>
      <c r="U34" s="12">
        <f t="shared" si="64"/>
        <v>0.58519663547237077</v>
      </c>
      <c r="V34" s="55">
        <f t="shared" si="8"/>
        <v>0.56646123724574482</v>
      </c>
      <c r="W34" s="54">
        <f t="shared" si="65"/>
        <v>0.28520393405412714</v>
      </c>
      <c r="X34" s="55">
        <f t="shared" si="66"/>
        <v>0.20783241167753627</v>
      </c>
      <c r="Y34" s="54">
        <f t="shared" si="9"/>
        <v>0.75001947517764711</v>
      </c>
      <c r="Z34" s="55">
        <f t="shared" si="67"/>
        <v>0.55904312279622326</v>
      </c>
      <c r="AA34" s="54">
        <f t="shared" si="10"/>
        <v>0</v>
      </c>
      <c r="AB34" s="55">
        <f t="shared" si="68"/>
        <v>0</v>
      </c>
      <c r="AC34" s="54">
        <f t="shared" si="11"/>
        <v>0</v>
      </c>
      <c r="AD34" s="55">
        <f t="shared" si="69"/>
        <v>0</v>
      </c>
      <c r="AE34" s="54">
        <f t="shared" si="12"/>
        <v>0</v>
      </c>
      <c r="AF34" s="55">
        <f t="shared" si="70"/>
        <v>0</v>
      </c>
      <c r="AG34" s="54">
        <f t="shared" si="13"/>
        <v>0</v>
      </c>
      <c r="AH34" s="55">
        <f t="shared" si="71"/>
        <v>0</v>
      </c>
      <c r="AI34" s="54">
        <f t="shared" si="72"/>
        <v>0</v>
      </c>
      <c r="AJ34" s="177">
        <f t="shared" si="73"/>
        <v>0</v>
      </c>
      <c r="AK34" s="54">
        <f t="shared" si="14"/>
        <v>0</v>
      </c>
      <c r="AL34" s="55">
        <f t="shared" si="15"/>
        <v>0</v>
      </c>
      <c r="AM34" s="179">
        <f t="shared" si="16"/>
        <v>7.1316670927313378E-2</v>
      </c>
      <c r="AN34" s="52">
        <f t="shared" si="17"/>
        <v>0</v>
      </c>
      <c r="AO34" s="74">
        <f t="shared" si="74"/>
        <v>0</v>
      </c>
      <c r="AP34" s="78">
        <v>0</v>
      </c>
      <c r="AQ34" s="87">
        <f t="shared" si="18"/>
        <v>0</v>
      </c>
      <c r="AR34" s="46">
        <f t="shared" si="19"/>
        <v>196.69204559334452</v>
      </c>
      <c r="AS34" s="69">
        <f t="shared" si="20"/>
        <v>0.14751903419500836</v>
      </c>
      <c r="AT34" s="42">
        <f t="shared" si="21"/>
        <v>199.7232082780329</v>
      </c>
      <c r="AU34" s="79">
        <f t="shared" si="22"/>
        <v>0.14979240620852469</v>
      </c>
      <c r="AV34" s="83">
        <f t="shared" si="75"/>
        <v>4.1030911993848174E-3</v>
      </c>
      <c r="AW34" s="84">
        <f t="shared" si="76"/>
        <v>4.6459833217928938E-3</v>
      </c>
      <c r="AX34" s="42">
        <f t="shared" si="23"/>
        <v>2.639489953632148E-2</v>
      </c>
      <c r="AY34" s="43">
        <f t="shared" si="77"/>
        <v>3.2996708732591029E-2</v>
      </c>
      <c r="AZ34" s="85">
        <f t="shared" si="24"/>
        <v>0</v>
      </c>
      <c r="BA34" s="86">
        <f t="shared" si="78"/>
        <v>0</v>
      </c>
      <c r="BB34" s="85">
        <f t="shared" si="25"/>
        <v>0</v>
      </c>
      <c r="BC34" s="86">
        <f t="shared" si="79"/>
        <v>0</v>
      </c>
      <c r="BD34" s="85">
        <f t="shared" si="26"/>
        <v>0</v>
      </c>
      <c r="BE34" s="86">
        <f t="shared" si="80"/>
        <v>0</v>
      </c>
      <c r="BF34" s="85">
        <f t="shared" si="27"/>
        <v>0</v>
      </c>
      <c r="BG34" s="86">
        <f t="shared" si="81"/>
        <v>0</v>
      </c>
      <c r="BH34" s="85">
        <f t="shared" si="28"/>
        <v>0</v>
      </c>
      <c r="BI34" s="86">
        <f t="shared" si="82"/>
        <v>0</v>
      </c>
      <c r="BJ34" s="85">
        <f t="shared" si="29"/>
        <v>0</v>
      </c>
      <c r="BK34" s="207">
        <f t="shared" si="30"/>
        <v>0</v>
      </c>
      <c r="BL34" s="85">
        <f t="shared" si="83"/>
        <v>6.8140682790090223E-2</v>
      </c>
      <c r="BM34" s="176">
        <f t="shared" si="84"/>
        <v>6.8140682790090223E-2</v>
      </c>
      <c r="BN34" s="176">
        <f t="shared" si="85"/>
        <v>6.8140682790090223E-2</v>
      </c>
      <c r="BO34" s="176">
        <f t="shared" si="86"/>
        <v>0.21565971698509859</v>
      </c>
      <c r="BP34" s="86">
        <f t="shared" si="87"/>
        <v>0.21793308899861491</v>
      </c>
      <c r="BQ34" s="211">
        <f t="shared" si="88"/>
        <v>2.6702880859374991E-3</v>
      </c>
      <c r="BR34" s="237">
        <f t="shared" si="31"/>
        <v>2.5000000000000001E-3</v>
      </c>
      <c r="BS34" s="237">
        <f t="shared" si="32"/>
        <v>0</v>
      </c>
      <c r="BT34" s="237">
        <f t="shared" si="33"/>
        <v>0</v>
      </c>
      <c r="BU34" s="237">
        <f t="shared" si="34"/>
        <v>0</v>
      </c>
      <c r="BV34" s="237">
        <f t="shared" si="35"/>
        <v>0</v>
      </c>
      <c r="BW34" s="237">
        <f t="shared" si="36"/>
        <v>0</v>
      </c>
      <c r="BX34" s="212">
        <f t="shared" si="37"/>
        <v>0</v>
      </c>
      <c r="BY34" s="238">
        <f t="shared" si="89"/>
        <v>5.1702880859374988E-3</v>
      </c>
      <c r="BZ34" s="244">
        <f t="shared" si="90"/>
        <v>1.4495849609374995E-4</v>
      </c>
      <c r="CA34" s="243">
        <f t="shared" si="38"/>
        <v>6.5514705882352947E-2</v>
      </c>
      <c r="CB34" s="243">
        <f t="shared" si="39"/>
        <v>0.1008</v>
      </c>
      <c r="CC34" s="238">
        <f t="shared" si="91"/>
        <v>0.1664596643784467</v>
      </c>
      <c r="CD34" s="244">
        <f t="shared" si="40"/>
        <v>0.15</v>
      </c>
      <c r="CE34" s="243">
        <f t="shared" si="41"/>
        <v>0.09</v>
      </c>
      <c r="CF34" s="243">
        <f t="shared" si="42"/>
        <v>0</v>
      </c>
      <c r="CG34" s="243">
        <f t="shared" si="43"/>
        <v>0</v>
      </c>
      <c r="CH34" s="243">
        <f t="shared" si="44"/>
        <v>0</v>
      </c>
      <c r="CI34" s="243">
        <f t="shared" si="45"/>
        <v>0</v>
      </c>
      <c r="CJ34" s="243">
        <f t="shared" si="46"/>
        <v>0</v>
      </c>
      <c r="CK34" s="243">
        <f t="shared" si="47"/>
        <v>0</v>
      </c>
      <c r="CL34" s="243">
        <f t="shared" si="48"/>
        <v>0</v>
      </c>
      <c r="CM34" s="243">
        <f t="shared" si="49"/>
        <v>0</v>
      </c>
      <c r="CN34" s="243">
        <f t="shared" si="50"/>
        <v>0</v>
      </c>
      <c r="CO34" s="243">
        <f t="shared" si="51"/>
        <v>0</v>
      </c>
      <c r="CP34" s="243">
        <f t="shared" si="52"/>
        <v>0</v>
      </c>
      <c r="CQ34" s="243">
        <f t="shared" si="53"/>
        <v>0</v>
      </c>
      <c r="CR34" s="238">
        <f t="shared" si="54"/>
        <v>0.24</v>
      </c>
      <c r="CS34" s="246">
        <f t="shared" si="55"/>
        <v>2.2670910394932773E-2</v>
      </c>
      <c r="CT34" s="188">
        <f t="shared" si="92"/>
        <v>0.43430086285931696</v>
      </c>
      <c r="CU34" s="206">
        <f t="shared" si="56"/>
        <v>7.9343008628593168</v>
      </c>
      <c r="CV34" s="227">
        <f t="shared" si="57"/>
        <v>0.94526286936101811</v>
      </c>
      <c r="CW34">
        <f t="shared" si="58"/>
        <v>78.400000000000006</v>
      </c>
      <c r="CX34">
        <f t="shared" si="59"/>
        <v>96.905542471599773</v>
      </c>
      <c r="DA34" s="22">
        <v>4000</v>
      </c>
      <c r="DB34" s="22">
        <f t="shared" si="93"/>
        <v>25132.741228718343</v>
      </c>
      <c r="DC34" s="253">
        <f t="shared" si="94"/>
        <v>-12.376208911665341</v>
      </c>
      <c r="DD34" s="93">
        <f t="shared" si="112"/>
        <v>-138.09548253635825</v>
      </c>
      <c r="DE34" s="253">
        <f t="shared" si="113"/>
        <v>-4.8632085437391028</v>
      </c>
      <c r="DF34" s="93">
        <f t="shared" si="114"/>
        <v>-95.100996736649606</v>
      </c>
      <c r="DG34" s="251">
        <f t="shared" si="115"/>
        <v>-1.929752388207616</v>
      </c>
      <c r="DH34" s="93">
        <f t="shared" si="116"/>
        <v>-88.750342369571499</v>
      </c>
      <c r="DI34" s="91">
        <f t="shared" si="100"/>
        <v>11.874839729961232</v>
      </c>
      <c r="DJ34" s="251">
        <f t="shared" si="101"/>
        <v>170.46878328164436</v>
      </c>
      <c r="DK34" s="92">
        <f t="shared" si="60"/>
        <v>11.871859614147311</v>
      </c>
      <c r="DL34" s="93">
        <f t="shared" si="61"/>
        <v>170.21960189254239</v>
      </c>
      <c r="DM34" s="253">
        <f t="shared" si="102"/>
        <v>-0.50136918170410816</v>
      </c>
      <c r="DN34" s="262">
        <f t="shared" si="62"/>
        <v>32.373300745286123</v>
      </c>
      <c r="DO34" s="253">
        <f t="shared" si="103"/>
        <v>7.0116311862221297</v>
      </c>
      <c r="DP34" s="259">
        <f t="shared" si="104"/>
        <v>75.367786544994757</v>
      </c>
      <c r="DQ34" s="251">
        <f t="shared" si="105"/>
        <v>9.9450873417536165</v>
      </c>
      <c r="DR34" s="259">
        <f t="shared" si="106"/>
        <v>81.718440912072865</v>
      </c>
      <c r="DS34" s="253">
        <f t="shared" si="107"/>
        <v>-0.50434929751802926</v>
      </c>
      <c r="DT34" s="261">
        <f t="shared" si="63"/>
        <v>32.124119356184174</v>
      </c>
      <c r="DU34" s="253">
        <f t="shared" si="108"/>
        <v>7.0086510704082086</v>
      </c>
      <c r="DV34" s="93">
        <f t="shared" si="109"/>
        <v>75.11860515589278</v>
      </c>
      <c r="DW34" s="251">
        <f t="shared" si="110"/>
        <v>9.9421072259396954</v>
      </c>
      <c r="DX34" s="93">
        <f t="shared" si="111"/>
        <v>81.469259522970887</v>
      </c>
    </row>
    <row r="35" spans="1:128" ht="15.75" thickBot="1" x14ac:dyDescent="0.3">
      <c r="A35" s="12" t="s">
        <v>172</v>
      </c>
      <c r="B35" s="8">
        <f>VLOOKUP(ILrms_Total_Max_FB_CCM,V4:AL54,8,FALSE)</f>
        <v>0</v>
      </c>
      <c r="C35" s="12" t="s">
        <v>6</v>
      </c>
      <c r="L35" s="58">
        <v>31</v>
      </c>
      <c r="M35" s="62">
        <f t="shared" si="0"/>
        <v>39.480000000000004</v>
      </c>
      <c r="N35" s="42">
        <f t="shared" si="1"/>
        <v>4.9702114745873256E-4</v>
      </c>
      <c r="O35" s="19">
        <f t="shared" si="2"/>
        <v>4.4731903271285928E-4</v>
      </c>
      <c r="P35" s="43">
        <f t="shared" si="3"/>
        <v>4.0665366610259933E-4</v>
      </c>
      <c r="Q35" s="60">
        <f t="shared" si="4"/>
        <v>0.50822122571001493</v>
      </c>
      <c r="R35" s="63">
        <f t="shared" si="5"/>
        <v>0.18996960486322187</v>
      </c>
      <c r="S35" s="28">
        <f t="shared" si="6"/>
        <v>0.37379313427498656</v>
      </c>
      <c r="T35" s="12">
        <f t="shared" si="7"/>
        <v>0.41801195814648739</v>
      </c>
      <c r="U35" s="12">
        <f t="shared" si="64"/>
        <v>0.5827991133482302</v>
      </c>
      <c r="V35" s="55">
        <f t="shared" si="8"/>
        <v>0.55996494454167323</v>
      </c>
      <c r="W35" s="54">
        <f t="shared" si="65"/>
        <v>0.28001719209603826</v>
      </c>
      <c r="X35" s="55">
        <f t="shared" si="66"/>
        <v>0.20572111485567285</v>
      </c>
      <c r="Y35" s="54">
        <f t="shared" si="9"/>
        <v>0.74652733985502662</v>
      </c>
      <c r="Z35" s="55">
        <f t="shared" si="67"/>
        <v>0.55434923031517092</v>
      </c>
      <c r="AA35" s="54">
        <f t="shared" si="10"/>
        <v>0</v>
      </c>
      <c r="AB35" s="55">
        <f t="shared" si="68"/>
        <v>0</v>
      </c>
      <c r="AC35" s="54">
        <f t="shared" si="11"/>
        <v>0</v>
      </c>
      <c r="AD35" s="55">
        <f t="shared" si="69"/>
        <v>0</v>
      </c>
      <c r="AE35" s="54">
        <f t="shared" si="12"/>
        <v>0</v>
      </c>
      <c r="AF35" s="55">
        <f t="shared" si="70"/>
        <v>0</v>
      </c>
      <c r="AG35" s="54">
        <f t="shared" si="13"/>
        <v>0</v>
      </c>
      <c r="AH35" s="55">
        <f t="shared" si="71"/>
        <v>0</v>
      </c>
      <c r="AI35" s="54">
        <f t="shared" si="72"/>
        <v>0</v>
      </c>
      <c r="AJ35" s="177">
        <f t="shared" si="73"/>
        <v>0</v>
      </c>
      <c r="AK35" s="54">
        <f t="shared" si="14"/>
        <v>0</v>
      </c>
      <c r="AL35" s="55">
        <f t="shared" si="15"/>
        <v>0</v>
      </c>
      <c r="AM35" s="179">
        <f t="shared" si="16"/>
        <v>7.2336051593595033E-2</v>
      </c>
      <c r="AN35" s="52">
        <f t="shared" si="17"/>
        <v>0</v>
      </c>
      <c r="AO35" s="74">
        <f t="shared" si="74"/>
        <v>0</v>
      </c>
      <c r="AP35" s="78">
        <v>0</v>
      </c>
      <c r="AQ35" s="87">
        <f t="shared" si="18"/>
        <v>0</v>
      </c>
      <c r="AR35" s="46">
        <f t="shared" si="19"/>
        <v>204.25953481549087</v>
      </c>
      <c r="AS35" s="69">
        <f t="shared" si="20"/>
        <v>0.15319465111161815</v>
      </c>
      <c r="AT35" s="42">
        <f t="shared" si="21"/>
        <v>206.81942568052065</v>
      </c>
      <c r="AU35" s="79">
        <f t="shared" si="22"/>
        <v>0.15511456926039049</v>
      </c>
      <c r="AV35" s="83">
        <f t="shared" si="75"/>
        <v>3.8816764333016638E-3</v>
      </c>
      <c r="AW35" s="84">
        <f t="shared" si="76"/>
        <v>4.5520689377102613E-3</v>
      </c>
      <c r="AX35" s="42">
        <f t="shared" si="23"/>
        <v>2.639489953632148E-2</v>
      </c>
      <c r="AY35" s="43">
        <f t="shared" si="77"/>
        <v>3.2444934549777954E-2</v>
      </c>
      <c r="AZ35" s="85">
        <f t="shared" si="24"/>
        <v>0</v>
      </c>
      <c r="BA35" s="86">
        <f t="shared" si="78"/>
        <v>0</v>
      </c>
      <c r="BB35" s="85">
        <f t="shared" si="25"/>
        <v>0</v>
      </c>
      <c r="BC35" s="86">
        <f t="shared" si="79"/>
        <v>0</v>
      </c>
      <c r="BD35" s="85">
        <f t="shared" si="26"/>
        <v>0</v>
      </c>
      <c r="BE35" s="86">
        <f t="shared" si="80"/>
        <v>0</v>
      </c>
      <c r="BF35" s="85">
        <f t="shared" si="27"/>
        <v>0</v>
      </c>
      <c r="BG35" s="86">
        <f t="shared" si="81"/>
        <v>0</v>
      </c>
      <c r="BH35" s="85">
        <f t="shared" si="28"/>
        <v>0</v>
      </c>
      <c r="BI35" s="86">
        <f t="shared" si="82"/>
        <v>0</v>
      </c>
      <c r="BJ35" s="85">
        <f t="shared" si="29"/>
        <v>0</v>
      </c>
      <c r="BK35" s="207">
        <f t="shared" si="30"/>
        <v>0</v>
      </c>
      <c r="BL35" s="85">
        <f t="shared" si="83"/>
        <v>6.7273579457111363E-2</v>
      </c>
      <c r="BM35" s="176">
        <f t="shared" si="84"/>
        <v>6.7273579457111363E-2</v>
      </c>
      <c r="BN35" s="176">
        <f t="shared" si="85"/>
        <v>6.7273579457111363E-2</v>
      </c>
      <c r="BO35" s="176">
        <f t="shared" si="86"/>
        <v>0.2204682305687295</v>
      </c>
      <c r="BP35" s="86">
        <f t="shared" si="87"/>
        <v>0.22238814871750184</v>
      </c>
      <c r="BQ35" s="211">
        <f t="shared" si="88"/>
        <v>2.5261915540322056E-3</v>
      </c>
      <c r="BR35" s="237">
        <f t="shared" si="31"/>
        <v>2.5000000000000001E-3</v>
      </c>
      <c r="BS35" s="237">
        <f t="shared" si="32"/>
        <v>0</v>
      </c>
      <c r="BT35" s="237">
        <f t="shared" si="33"/>
        <v>0</v>
      </c>
      <c r="BU35" s="237">
        <f t="shared" si="34"/>
        <v>0</v>
      </c>
      <c r="BV35" s="237">
        <f t="shared" si="35"/>
        <v>0</v>
      </c>
      <c r="BW35" s="237">
        <f t="shared" si="36"/>
        <v>0</v>
      </c>
      <c r="BX35" s="212">
        <f t="shared" si="37"/>
        <v>0</v>
      </c>
      <c r="BY35" s="238">
        <f t="shared" si="89"/>
        <v>5.0261915540322057E-3</v>
      </c>
      <c r="BZ35" s="244">
        <f t="shared" si="90"/>
        <v>1.3713611293317689E-4</v>
      </c>
      <c r="CA35" s="243">
        <f t="shared" si="38"/>
        <v>6.6408088235294135E-2</v>
      </c>
      <c r="CB35" s="243">
        <f t="shared" si="39"/>
        <v>0.1008</v>
      </c>
      <c r="CC35" s="238">
        <f t="shared" si="91"/>
        <v>0.16734522434822729</v>
      </c>
      <c r="CD35" s="244">
        <f t="shared" si="40"/>
        <v>0.15</v>
      </c>
      <c r="CE35" s="243">
        <f t="shared" si="41"/>
        <v>0.09</v>
      </c>
      <c r="CF35" s="243">
        <f t="shared" si="42"/>
        <v>0</v>
      </c>
      <c r="CG35" s="243">
        <f t="shared" si="43"/>
        <v>0</v>
      </c>
      <c r="CH35" s="243">
        <f t="shared" si="44"/>
        <v>0</v>
      </c>
      <c r="CI35" s="243">
        <f t="shared" si="45"/>
        <v>0</v>
      </c>
      <c r="CJ35" s="243">
        <f t="shared" si="46"/>
        <v>0</v>
      </c>
      <c r="CK35" s="243">
        <f t="shared" si="47"/>
        <v>0</v>
      </c>
      <c r="CL35" s="243">
        <f t="shared" si="48"/>
        <v>0</v>
      </c>
      <c r="CM35" s="243">
        <f t="shared" si="49"/>
        <v>0</v>
      </c>
      <c r="CN35" s="243">
        <f t="shared" si="50"/>
        <v>0</v>
      </c>
      <c r="CO35" s="243">
        <f t="shared" si="51"/>
        <v>0</v>
      </c>
      <c r="CP35" s="243">
        <f t="shared" si="52"/>
        <v>0</v>
      </c>
      <c r="CQ35" s="243">
        <f t="shared" si="53"/>
        <v>0</v>
      </c>
      <c r="CR35" s="238">
        <f t="shared" si="54"/>
        <v>0.24</v>
      </c>
      <c r="CS35" s="246">
        <f t="shared" si="55"/>
        <v>2.2049627116366904E-2</v>
      </c>
      <c r="CT35" s="188">
        <f t="shared" si="92"/>
        <v>0.43442104301862638</v>
      </c>
      <c r="CU35" s="206">
        <f t="shared" si="56"/>
        <v>7.9344210430186264</v>
      </c>
      <c r="CV35" s="227">
        <f t="shared" si="57"/>
        <v>0.94524855176410549</v>
      </c>
      <c r="CW35">
        <f t="shared" si="58"/>
        <v>79.48</v>
      </c>
      <c r="CX35">
        <f t="shared" si="59"/>
        <v>97.909726165070481</v>
      </c>
      <c r="DA35" s="22">
        <v>5000</v>
      </c>
      <c r="DB35" s="22">
        <f t="shared" si="93"/>
        <v>31415.926535897932</v>
      </c>
      <c r="DC35" s="253">
        <f t="shared" si="94"/>
        <v>-13.283372422789668</v>
      </c>
      <c r="DD35" s="93">
        <f t="shared" si="112"/>
        <v>-145.34641313770643</v>
      </c>
      <c r="DE35" s="253">
        <f t="shared" si="113"/>
        <v>-6.7895304935785505</v>
      </c>
      <c r="DF35" s="93">
        <f t="shared" si="114"/>
        <v>-96.554843376874047</v>
      </c>
      <c r="DG35" s="251">
        <f t="shared" si="115"/>
        <v>-3.8477140520057245</v>
      </c>
      <c r="DH35" s="93">
        <f t="shared" si="116"/>
        <v>-88.600082507519247</v>
      </c>
      <c r="DI35" s="91">
        <f t="shared" si="100"/>
        <v>11.820963002577315</v>
      </c>
      <c r="DJ35" s="251">
        <f t="shared" si="101"/>
        <v>168.5809402637073</v>
      </c>
      <c r="DK35" s="92">
        <f t="shared" si="60"/>
        <v>11.815253030440214</v>
      </c>
      <c r="DL35" s="93">
        <f t="shared" si="61"/>
        <v>168.28787216382239</v>
      </c>
      <c r="DM35" s="253">
        <f t="shared" si="102"/>
        <v>-1.462409420212353</v>
      </c>
      <c r="DN35" s="262">
        <f t="shared" si="62"/>
        <v>23.234527126000874</v>
      </c>
      <c r="DO35" s="253">
        <f t="shared" si="103"/>
        <v>5.0314325089987646</v>
      </c>
      <c r="DP35" s="259">
        <f t="shared" si="104"/>
        <v>72.026096886833258</v>
      </c>
      <c r="DQ35" s="251">
        <f t="shared" si="105"/>
        <v>7.9732489505715911</v>
      </c>
      <c r="DR35" s="259">
        <f t="shared" si="106"/>
        <v>79.980857756188058</v>
      </c>
      <c r="DS35" s="253">
        <f t="shared" si="107"/>
        <v>-1.468119392349454</v>
      </c>
      <c r="DT35" s="261">
        <f t="shared" si="63"/>
        <v>22.941459026115989</v>
      </c>
      <c r="DU35" s="253">
        <f t="shared" si="108"/>
        <v>5.0257225368616636</v>
      </c>
      <c r="DV35" s="93">
        <f t="shared" si="109"/>
        <v>71.733028786948339</v>
      </c>
      <c r="DW35" s="251">
        <f t="shared" si="110"/>
        <v>7.9675389784344901</v>
      </c>
      <c r="DX35" s="93">
        <f t="shared" si="111"/>
        <v>79.687789656303138</v>
      </c>
    </row>
    <row r="36" spans="1:128" ht="15.75" thickBot="1" x14ac:dyDescent="0.3">
      <c r="A36" s="12" t="s">
        <v>173</v>
      </c>
      <c r="B36" s="8">
        <f>VLOOKUP(ILrms_Total_Max_FB_CCM,V4:AL54,10,FALSE)</f>
        <v>0</v>
      </c>
      <c r="C36" s="12" t="s">
        <v>6</v>
      </c>
      <c r="L36" s="58">
        <v>32</v>
      </c>
      <c r="M36" s="62">
        <f t="shared" ref="M36:M54" si="117">VinMin+(L36*DC_Step)</f>
        <v>40.56</v>
      </c>
      <c r="N36" s="42">
        <f t="shared" ref="N36:N54" si="118">(M36*Q36)/(S36*0.9*RR*Fsw)</f>
        <v>5.1075111114978484E-4</v>
      </c>
      <c r="O36" s="19">
        <f t="shared" ref="O36:O54" si="119">(M36*Q36)/(S36*RR*Fsw)</f>
        <v>4.5967600003480648E-4</v>
      </c>
      <c r="P36" s="43">
        <f t="shared" ref="P36:P54" si="120">(M36*Q36)/(S36*1.1*RR*Fsw)</f>
        <v>4.1788727275891493E-4</v>
      </c>
      <c r="Q36" s="60">
        <f t="shared" ref="Q36:Q54" si="121">IF(AND(Vout1&lt;&gt;0),(Np*(ABS(Vout1)+Vdiode1))/((Ns1_Flyback*M36)+(Np*(ABS(Vout1)+Vdiode1))),0)</f>
        <v>0.50147492625368728</v>
      </c>
      <c r="R36" s="63">
        <f t="shared" ref="R36:R54" si="122">(Pout_Flyback)/(eff*M36)</f>
        <v>0.1849112426035503</v>
      </c>
      <c r="S36" s="28">
        <f t="shared" ref="S36:S54" si="123">(Pout_Flyback)/(eff*Q36*M36)</f>
        <v>0.36873477201531502</v>
      </c>
      <c r="T36" s="12">
        <f t="shared" ref="T36:T54" si="124">(M36*Q36)/(Lm_Flyback_CCM*Fsw)</f>
        <v>0.4237463126843658</v>
      </c>
      <c r="U36" s="12">
        <f t="shared" si="64"/>
        <v>0.58060792835749786</v>
      </c>
      <c r="V36" s="55">
        <f t="shared" ref="V36:V54" si="125">SUM(W36,(Ns1_Flyback/Np)*Y36,(Ns2_Flyback/Np)*AA36,(Ns3_Flyback/Np)*AC36,(Ns4_Flyback/Np)*AE36,(Ns5_Flyback/Np)*AG36,(Ns6_Flyback/Np)*AI36,(NsAux_Flyback/Np)*AK36)</f>
        <v>0.55384281465446139</v>
      </c>
      <c r="W36" s="54">
        <f t="shared" si="65"/>
        <v>0.2751126688152114</v>
      </c>
      <c r="X36" s="55">
        <f t="shared" si="66"/>
        <v>0.20370275624409004</v>
      </c>
      <c r="Y36" s="54">
        <f t="shared" ref="Y36:Y54" si="126">IF(AND(Vout1&lt;&gt;0,Iout1&lt;&gt;0,Ns1_Flyback&lt;&gt;0),(Iout1/(1-Q36))*SQRT(1-Q36)*SQRT(1+((1/3)*((ABS(Vout1)*(1-Q36)/(Lm_Flyback_CCM*Fsw*((Ns1_Flyback/Np)^2)))/((2*Iout1/(1-Q36))))^2)),0)</f>
        <v>0.74328038890466686</v>
      </c>
      <c r="Z36" s="55">
        <f t="shared" si="67"/>
        <v>0.54996885050907451</v>
      </c>
      <c r="AA36" s="54">
        <f t="shared" ref="AA36:AA54" si="127">IF(AND(Vout2&lt;&gt;0,Iout2&lt;&gt;0,Ns2_Flyback&lt;&gt;0),(Iout2/(1-Q36))*SQRT(1-Q36)*SQRT(1+((1/3)*((ABS(Vout2)*(1-Q36)/(Lm_Flyback_CCM*Fsw*((Ns2_Flyback/Np)^2)))/((2*Iout2/(1-Q36))))^2)),0)</f>
        <v>0</v>
      </c>
      <c r="AB36" s="55">
        <f t="shared" si="68"/>
        <v>0</v>
      </c>
      <c r="AC36" s="54">
        <f t="shared" ref="AC36:AC54" si="128">IF(AND(Vout3&lt;&gt;0,Iout3&lt;&gt;0,Ns3_Flyback&lt;&gt;0),(Iout3/(1-Q36))*SQRT(1-Q36)*SQRT(1+((1/3)*((ABS(Vout3)*(1-Q36)/(Lm_Flyback_CCM*Fsw*((Ns3_Flyback/Np)^2)))/((2*Iout3/(1-Q36))))^2)),0)</f>
        <v>0</v>
      </c>
      <c r="AD36" s="55">
        <f t="shared" si="69"/>
        <v>0</v>
      </c>
      <c r="AE36" s="54">
        <f t="shared" ref="AE36:AE54" si="129">IF(AND(Vout4&lt;&gt;0,Iout4&lt;&gt;0,Ns4_Flyback&lt;&gt;0),(Iout4/(1-Q36))*SQRT(1-Q36)*SQRT(1+((1/3)*((ABS(Vout4)*(1-Q36)/(Lm_Flyback_CCM*Fsw*((Ns4_Flyback/Np)^2)))/((2*Iout4/(1-Q36))))^2)),0)</f>
        <v>0</v>
      </c>
      <c r="AF36" s="55">
        <f t="shared" si="70"/>
        <v>0</v>
      </c>
      <c r="AG36" s="54">
        <f t="shared" ref="AG36:AG54" si="130">IF(AND(Vout5&lt;&gt;0,Iout5&lt;&gt;0,Ns5_Flyback&lt;&gt;0),(Iout5/(1-Q36))*SQRT(1-Q36)*SQRT(1+((1/3)*((ABS(Vout5)*(1-Q36)/(Lm_Flyback_CCM*Fsw*((Ns5_Flyback/Np)^2)))/((2*Iout5/(1-Q36))))^2)),0)</f>
        <v>0</v>
      </c>
      <c r="AH36" s="55">
        <f t="shared" si="71"/>
        <v>0</v>
      </c>
      <c r="AI36" s="54">
        <f t="shared" ref="AI36:AI54" si="131">IF(AND(Vout6&lt;&gt;0,Iout6&lt;&gt;0,Ns6_Flyback&lt;&gt;0),(Iout6/(1-Q36))*SQRT(1-Q36)*SQRT(1+((1/3)*((ABS(Vout6)*(1-Q36)/(Lm_Flyback_CCM*Fsw*((Ns6_Flyback/Np)^2)))/((2*Iout6/(1-Q36))))^2)),0)</f>
        <v>0</v>
      </c>
      <c r="AJ36" s="177">
        <f t="shared" si="73"/>
        <v>0</v>
      </c>
      <c r="AK36" s="54">
        <f t="shared" ref="AK36:AK54" si="132">IF(AND(VOUTAUX&lt;&gt;0,IoutAux&lt;&gt;0,NsAux_Flyback&lt;&gt;0),(IoutAux/(1-Q36))*SQRT(1-Q36)*SQRT(1+((1/3)*((ABS(VOUTAUX)*(1-Q36)/(Lm_Flyback_CCM*Fsw*((NsAux_Flyback/Np)^2)))/((2*IoutAux/(1-Q36))))^2)),0)</f>
        <v>0</v>
      </c>
      <c r="AL36" s="55">
        <f t="shared" ref="AL36:AL54" si="133">IF(AND(IoutAux&lt;&gt;0,VOUTAUX&lt;&gt;0),SQRT((AK36^2)-(IoutAux^2)),0)</f>
        <v>0</v>
      </c>
      <c r="AM36" s="179">
        <f t="shared" ref="AM36:AM54" si="134">((M36*Q36)/(2*Np_T_Flyback_CCM*(Ae_Flyback_CCM/100)*Fsw))*(10^4)</f>
        <v>7.3328369056347098E-2</v>
      </c>
      <c r="AN36" s="52">
        <f t="shared" ref="AN36:AN54" si="135">CM_3F35*(Fsw^x_3F35)*(AM36^y_3F35)*(TC_3F35)</f>
        <v>0</v>
      </c>
      <c r="AO36" s="74">
        <f t="shared" ref="AO36:AO54" si="136">AN36*(Ve_Flyback_CCM/1000)</f>
        <v>0</v>
      </c>
      <c r="AP36" s="78">
        <v>0</v>
      </c>
      <c r="AQ36" s="87">
        <f t="shared" ref="AQ36:AQ54" si="137">CM_3F36*(Fsw^x_3F36)*(AM36^y_3F36)*(TC_3F36)*(Ve_Flyback_CCM/1000)</f>
        <v>0</v>
      </c>
      <c r="AR36" s="46">
        <f t="shared" ref="AR36:AR54" si="138">CM_3C92*(Fsw^x_3C92)*(AM36^y_3C92)*(TC_3C92)/1000</f>
        <v>211.79814898940018</v>
      </c>
      <c r="AS36" s="69">
        <f t="shared" ref="AS36:AS54" si="139">(Ve_Flyback_CCM/1000)*AR36/1000</f>
        <v>0.15884861174205014</v>
      </c>
      <c r="AT36" s="42">
        <f t="shared" ref="AT36:AT54" si="140">(CM_3C96*(Fsw^x_3C96)*(AM36^y_3C96)*(TC_3C96))/1000</f>
        <v>213.86893378325854</v>
      </c>
      <c r="AU36" s="79">
        <f t="shared" ref="AU36:AU54" si="141">((Ve_Flyback_CCM/1000)*AT36)/1000</f>
        <v>0.16040170033744391</v>
      </c>
      <c r="AV36" s="83">
        <f t="shared" si="75"/>
        <v>3.6777120795578361E-3</v>
      </c>
      <c r="AW36" s="84">
        <f t="shared" si="76"/>
        <v>4.4631851436871426E-3</v>
      </c>
      <c r="AX36" s="42">
        <f t="shared" ref="AX36:AX54" si="142">Rdc1_Flyback_CCM*(Iout1^2)</f>
        <v>2.639489953632148E-2</v>
      </c>
      <c r="AY36" s="43">
        <f t="shared" si="77"/>
        <v>3.1934210915584127E-2</v>
      </c>
      <c r="AZ36" s="85">
        <f t="shared" ref="AZ36:AZ54" si="143">Rdc2_Flyback_CCM*(Iout2^2)</f>
        <v>0</v>
      </c>
      <c r="BA36" s="86">
        <f t="shared" si="78"/>
        <v>0</v>
      </c>
      <c r="BB36" s="85">
        <f t="shared" ref="BB36:BB54" si="144">Rdc3_Flyback_CCM*(Iout3^2)</f>
        <v>0</v>
      </c>
      <c r="BC36" s="86">
        <f t="shared" si="79"/>
        <v>0</v>
      </c>
      <c r="BD36" s="85">
        <f t="shared" ref="BD36:BD54" si="145">Rdc4_Flyback_CCM*(Iout4^2)</f>
        <v>0</v>
      </c>
      <c r="BE36" s="86">
        <f t="shared" si="80"/>
        <v>0</v>
      </c>
      <c r="BF36" s="85">
        <f t="shared" ref="BF36:BF54" si="146">Rdc5_Flyback_CCM*(Iout5^2)</f>
        <v>0</v>
      </c>
      <c r="BG36" s="86">
        <f t="shared" si="81"/>
        <v>0</v>
      </c>
      <c r="BH36" s="85">
        <f t="shared" ref="BH36:BH54" si="147">Rdc6_Flyback_CCM*(Iout6^2)</f>
        <v>0</v>
      </c>
      <c r="BI36" s="86">
        <f t="shared" si="82"/>
        <v>0</v>
      </c>
      <c r="BJ36" s="85">
        <f t="shared" ref="BJ36:BJ54" si="148">RdcAUX_Flyback_CCM*(IoutAux^2)</f>
        <v>0</v>
      </c>
      <c r="BK36" s="207">
        <f t="shared" ref="BK36:BK54" si="149">RacAUX_Flyback_CCM*(AL36^2)</f>
        <v>0</v>
      </c>
      <c r="BL36" s="85">
        <f t="shared" si="83"/>
        <v>6.6470007675150586E-2</v>
      </c>
      <c r="BM36" s="176">
        <f t="shared" si="84"/>
        <v>6.6470007675150586E-2</v>
      </c>
      <c r="BN36" s="176">
        <f t="shared" si="85"/>
        <v>6.6470007675150586E-2</v>
      </c>
      <c r="BO36" s="176">
        <f t="shared" si="86"/>
        <v>0.22531861941720072</v>
      </c>
      <c r="BP36" s="86">
        <f t="shared" si="87"/>
        <v>0.22687170801259449</v>
      </c>
      <c r="BQ36" s="211">
        <f t="shared" si="88"/>
        <v>2.3934517348832328E-3</v>
      </c>
      <c r="BR36" s="237">
        <f t="shared" ref="BR36:BR54" si="150">IF(AND(Vout1&lt;&gt;0,Iout1&lt;&gt;0),(Iout1^2)*$B$101,0)</f>
        <v>2.5000000000000001E-3</v>
      </c>
      <c r="BS36" s="237">
        <f t="shared" ref="BS36:BS54" si="151">IF(AND(Vout2&lt;&gt;0,Iout2&lt;&gt;0),(Iout2^2)*$B$102,0)</f>
        <v>0</v>
      </c>
      <c r="BT36" s="237">
        <f t="shared" ref="BT36:BT54" si="152">IF(AND(Vout3&lt;&gt;0,Iout3&lt;&gt;0),(Iout3^2)*$B$103,0)</f>
        <v>0</v>
      </c>
      <c r="BU36" s="237">
        <f t="shared" ref="BU36:BU54" si="153">IF(AND(Vout4&lt;&gt;0,Iout4&lt;&gt;0),(Iout4^2)*$B$104,0)</f>
        <v>0</v>
      </c>
      <c r="BV36" s="237">
        <f t="shared" ref="BV36:BV54" si="154">IF(AND(Vout5&lt;&gt;0,Iout5&lt;&gt;0),(Iout5^2)*$B$105,0)</f>
        <v>0</v>
      </c>
      <c r="BW36" s="237">
        <f t="shared" ref="BW36:BW54" si="155">IF(AND(Vout6&lt;&gt;0,Iout6&lt;&gt;0),(Iout6^2)*$B$106,0)</f>
        <v>0</v>
      </c>
      <c r="BX36" s="212">
        <f t="shared" ref="BX36:BX54" si="156">IF(AND(VOUTAUX&lt;&gt;0,IoutAux&lt;&gt;0),(IoutAux^2)*$B$107,0)</f>
        <v>0</v>
      </c>
      <c r="BY36" s="238">
        <f t="shared" si="89"/>
        <v>4.8934517348832324E-3</v>
      </c>
      <c r="BZ36" s="244">
        <f t="shared" si="90"/>
        <v>1.2993023703651834E-4</v>
      </c>
      <c r="CA36" s="243">
        <f t="shared" ref="CA36:CA54" si="157">0.5*M36*S36*Fsw*T_Rise_Fall</f>
        <v>6.730147058823531E-2</v>
      </c>
      <c r="CB36" s="243">
        <f t="shared" ref="CB36:CB54" si="158">$B$89*$B$80*Fsw</f>
        <v>0.1008</v>
      </c>
      <c r="CC36" s="238">
        <f t="shared" si="91"/>
        <v>0.16823140082527183</v>
      </c>
      <c r="CD36" s="244">
        <f t="shared" ref="CD36:CD54" si="159">IF(AND(Iout1&lt;&gt;0,Vout1&lt;&gt;0,Vdiode1&lt;&gt;0),Vdiode1*Iout1,0)</f>
        <v>0.15</v>
      </c>
      <c r="CE36" s="243">
        <f t="shared" ref="CE36:CE54" si="160">ABS(Vout1)*Fsw*Flyback_Qrr</f>
        <v>0.09</v>
      </c>
      <c r="CF36" s="243">
        <f t="shared" si="42"/>
        <v>0</v>
      </c>
      <c r="CG36" s="243">
        <f t="shared" ref="CG36:CG54" si="161">ABS(Vout2)*Fsw*Flyback_Qrr</f>
        <v>0</v>
      </c>
      <c r="CH36" s="243">
        <f t="shared" si="44"/>
        <v>0</v>
      </c>
      <c r="CI36" s="243">
        <f t="shared" ref="CI36:CI54" si="162">ABS(Vout3)*Fsw*Flyback_Qrr</f>
        <v>0</v>
      </c>
      <c r="CJ36" s="243">
        <f t="shared" si="46"/>
        <v>0</v>
      </c>
      <c r="CK36" s="243">
        <f t="shared" ref="CK36:CK54" si="163">ABS(Vout4)*Fsw*Flyback_Qrr</f>
        <v>0</v>
      </c>
      <c r="CL36" s="243">
        <f t="shared" si="48"/>
        <v>0</v>
      </c>
      <c r="CM36" s="243">
        <f t="shared" ref="CM36:CM54" si="164">ABS(Vout5)*Fsw*Flyback_Qrr</f>
        <v>0</v>
      </c>
      <c r="CN36" s="243">
        <f t="shared" si="50"/>
        <v>0</v>
      </c>
      <c r="CO36" s="243">
        <f t="shared" ref="CO36:CO54" si="165">ABS(Vout6)*Fsw*Flyback_Qrr</f>
        <v>0</v>
      </c>
      <c r="CP36" s="243">
        <f t="shared" si="52"/>
        <v>0</v>
      </c>
      <c r="CQ36" s="243">
        <f t="shared" ref="CQ36:CQ54" si="166">ABS(VOUTAUX)*Fsw*Flyback_Qrr</f>
        <v>0</v>
      </c>
      <c r="CR36" s="238">
        <f t="shared" ref="CR36:CR54" si="167">SUM(CD36:CP36)</f>
        <v>0.24</v>
      </c>
      <c r="CS36" s="246">
        <f t="shared" ref="CS36:CS54" si="168">IF(AND(Vout1&lt;&gt;0,Ns1_Flyback&lt;&gt;0),0.5*(U36^2)*LL_Flyback_CCM*Fsw*((Vclamp_Flyback_CCM-M36)/((Vclamp_Flyback_CCM-M36)+((Np/Ns1_Flyback)*ABS(Vout1)))),0)</f>
        <v>2.1438049849345057E-2</v>
      </c>
      <c r="CT36" s="188">
        <f t="shared" si="92"/>
        <v>0.43456290240950013</v>
      </c>
      <c r="CU36" s="206">
        <f t="shared" ref="CU36:CU54" si="169">CT36+Pout_Flyback</f>
        <v>7.9345629024094997</v>
      </c>
      <c r="CV36" s="227">
        <f t="shared" ref="CV36:CV54" si="170">Pout_Flyback/CU36</f>
        <v>0.94523165198204739</v>
      </c>
      <c r="CW36">
        <f t="shared" ref="CW36:CW54" si="171">M36+(ABS(Vout1)*(Np/Ns1_Flyback))</f>
        <v>80.56</v>
      </c>
      <c r="CX36">
        <f t="shared" ref="CX36:CX54" si="172">IF(AND(Vout1&lt;&gt;0,Ns1_Flyback&lt;&gt;0),M36+(ABS(Vout1)*(Np/Ns1_Flyback))+(U36*SQRT(LL_Flyback_CCM/Coss_Flyback_CCM)),0)</f>
        <v>98.920434811615593</v>
      </c>
      <c r="DA36" s="22">
        <v>6000</v>
      </c>
      <c r="DB36" s="22">
        <f t="shared" si="93"/>
        <v>37699.111843077517</v>
      </c>
      <c r="DC36" s="253">
        <f t="shared" si="94"/>
        <v>-13.888488189883416</v>
      </c>
      <c r="DD36" s="93">
        <f t="shared" si="112"/>
        <v>-151.16176002187979</v>
      </c>
      <c r="DE36" s="253">
        <f t="shared" si="113"/>
        <v>-8.358643051711951</v>
      </c>
      <c r="DF36" s="93">
        <f t="shared" si="114"/>
        <v>-97.969988436220277</v>
      </c>
      <c r="DG36" s="251">
        <f t="shared" si="115"/>
        <v>-5.4069617516473993</v>
      </c>
      <c r="DH36" s="93">
        <f t="shared" si="116"/>
        <v>-88.438969468051454</v>
      </c>
      <c r="DI36" s="91">
        <f t="shared" si="100"/>
        <v>11.756317985059423</v>
      </c>
      <c r="DJ36" s="251">
        <f t="shared" si="101"/>
        <v>166.65441006968527</v>
      </c>
      <c r="DK36" s="92">
        <f t="shared" ref="DK36:DK59" si="173">20*LOG10(IMABS(IMPRODUCT(COMPLEX((-$B$133*$B$134)/($B$141*$B$139*$B$132),0),IMDIV(COMPLEX(1,$B$141*$B$132*DB36),IMPRODUCT(COMPLEX(0,DB36),COMPLEX(1,DB36*$B$143*$B$134))))))</f>
        <v>11.747383933920283</v>
      </c>
      <c r="DL36" s="93">
        <f t="shared" ref="DL36:DL59" si="174">IMARGUMENT(IMPRODUCT(COMPLEX((-$B$133*$B$134)/($B$141*$B$139*$B$132),0),IMDIV(COMPLEX(1,$B$141*$B$132*DB36),IMPRODUCT(COMPLEX(0,DB36),COMPLEX(1,DB36*$B$143*$B$134)))))*(180/PI())</f>
        <v>166.31734664559718</v>
      </c>
      <c r="DM36" s="253">
        <f t="shared" si="102"/>
        <v>-2.1321702048239928</v>
      </c>
      <c r="DN36" s="262">
        <f t="shared" ref="DN36:DN59" si="175">IMARGUMENT(IMPRODUCT(IMDIV(IMPRODUCT(COMPLEX(1,-DB36/$B$120),COMPLEX(1,DB36/$B$119)),IMPRODUCT(COMPLEX(1,DB36/$B$113),COMPLEX(1,DB36/$B$116))),IMDIV(COMPLEX(-1,-DB36/$B$158),IMPRODUCT(COMPLEX(1,DB36/($B$157)),COMPLEX(0,DB36)))))*(180/PI())</f>
        <v>15.492650047805443</v>
      </c>
      <c r="DO36" s="253">
        <f t="shared" si="103"/>
        <v>3.3976749333474725</v>
      </c>
      <c r="DP36" s="259">
        <f t="shared" si="104"/>
        <v>68.684421633464993</v>
      </c>
      <c r="DQ36" s="251">
        <f t="shared" si="105"/>
        <v>6.3493562334120242</v>
      </c>
      <c r="DR36" s="259">
        <f t="shared" si="106"/>
        <v>78.215440601633816</v>
      </c>
      <c r="DS36" s="253">
        <f t="shared" si="107"/>
        <v>-2.1411042559631337</v>
      </c>
      <c r="DT36" s="261">
        <f t="shared" ref="DT36:DT59" si="176">IMARGUMENT(IMPRODUCT(IMDIV(IMPRODUCT(COMPLEX(1,-DB36/$B$120),COMPLEX(1,DB36/$B$119)),IMPRODUCT(COMPLEX(1,DB36/$B$113),COMPLEX(1,DB36/$B$116))),IMDIV(COMPLEX(-1,-$B$145/-DB36),COMPLEX(1,DB36/$B$144))))*(180/PI())</f>
        <v>15.15558662371739</v>
      </c>
      <c r="DU36" s="253">
        <f t="shared" si="108"/>
        <v>3.3887408822083316</v>
      </c>
      <c r="DV36" s="93">
        <f t="shared" si="109"/>
        <v>68.347358209376907</v>
      </c>
      <c r="DW36" s="251">
        <f t="shared" si="110"/>
        <v>6.3404221822728832</v>
      </c>
      <c r="DX36" s="93">
        <f t="shared" si="111"/>
        <v>77.87837717754573</v>
      </c>
    </row>
    <row r="37" spans="1:128" ht="15.75" thickBot="1" x14ac:dyDescent="0.3">
      <c r="A37" s="12" t="s">
        <v>174</v>
      </c>
      <c r="B37" s="8">
        <f>VLOOKUP(ILrms_Total_Max_FB_CCM,V4:AL54,12,FALSE)</f>
        <v>0</v>
      </c>
      <c r="C37" s="12" t="s">
        <v>6</v>
      </c>
      <c r="L37" s="58">
        <v>33</v>
      </c>
      <c r="M37" s="62">
        <f t="shared" si="117"/>
        <v>41.64</v>
      </c>
      <c r="N37" s="42">
        <f t="shared" si="118"/>
        <v>5.2430111676355392E-4</v>
      </c>
      <c r="O37" s="19">
        <f t="shared" si="119"/>
        <v>4.7187100508719863E-4</v>
      </c>
      <c r="P37" s="43">
        <f t="shared" si="120"/>
        <v>4.2897364098836235E-4</v>
      </c>
      <c r="Q37" s="60">
        <f t="shared" si="121"/>
        <v>0.49490538573508008</v>
      </c>
      <c r="R37" s="63">
        <f t="shared" si="122"/>
        <v>0.18011527377521613</v>
      </c>
      <c r="S37" s="28">
        <f t="shared" si="123"/>
        <v>0.3639388031869808</v>
      </c>
      <c r="T37" s="12">
        <f t="shared" si="124"/>
        <v>0.42933042212518202</v>
      </c>
      <c r="U37" s="12">
        <f t="shared" si="64"/>
        <v>0.57860401424957186</v>
      </c>
      <c r="V37" s="55">
        <f t="shared" si="125"/>
        <v>0.54806556277749485</v>
      </c>
      <c r="W37" s="54">
        <f t="shared" si="65"/>
        <v>0.27046787994264715</v>
      </c>
      <c r="X37" s="55">
        <f t="shared" si="66"/>
        <v>0.20177056830357873</v>
      </c>
      <c r="Y37" s="54">
        <f t="shared" si="126"/>
        <v>0.74026048755959384</v>
      </c>
      <c r="Z37" s="55">
        <f t="shared" si="67"/>
        <v>0.54588056334876733</v>
      </c>
      <c r="AA37" s="54">
        <f t="shared" si="127"/>
        <v>0</v>
      </c>
      <c r="AB37" s="55">
        <f t="shared" si="68"/>
        <v>0</v>
      </c>
      <c r="AC37" s="54">
        <f t="shared" si="128"/>
        <v>0</v>
      </c>
      <c r="AD37" s="55">
        <f t="shared" si="69"/>
        <v>0</v>
      </c>
      <c r="AE37" s="54">
        <f t="shared" si="129"/>
        <v>0</v>
      </c>
      <c r="AF37" s="55">
        <f t="shared" si="70"/>
        <v>0</v>
      </c>
      <c r="AG37" s="54">
        <f t="shared" si="130"/>
        <v>0</v>
      </c>
      <c r="AH37" s="55">
        <f t="shared" si="71"/>
        <v>0</v>
      </c>
      <c r="AI37" s="54">
        <f t="shared" si="131"/>
        <v>0</v>
      </c>
      <c r="AJ37" s="177">
        <f t="shared" si="73"/>
        <v>0</v>
      </c>
      <c r="AK37" s="54">
        <f t="shared" si="132"/>
        <v>0</v>
      </c>
      <c r="AL37" s="55">
        <f t="shared" si="133"/>
        <v>0</v>
      </c>
      <c r="AM37" s="179">
        <f t="shared" si="134"/>
        <v>7.4294686934922263E-2</v>
      </c>
      <c r="AN37" s="52">
        <f t="shared" si="135"/>
        <v>0</v>
      </c>
      <c r="AO37" s="74">
        <f t="shared" si="136"/>
        <v>0</v>
      </c>
      <c r="AP37" s="78">
        <v>0</v>
      </c>
      <c r="AQ37" s="87">
        <f t="shared" si="137"/>
        <v>0</v>
      </c>
      <c r="AR37" s="46">
        <f t="shared" si="138"/>
        <v>219.30382452935604</v>
      </c>
      <c r="AS37" s="69">
        <f t="shared" si="139"/>
        <v>0.16447786839701703</v>
      </c>
      <c r="AT37" s="42">
        <f t="shared" si="140"/>
        <v>220.86891785838586</v>
      </c>
      <c r="AU37" s="79">
        <f t="shared" si="141"/>
        <v>0.16565168839378938</v>
      </c>
      <c r="AV37" s="83">
        <f t="shared" si="75"/>
        <v>3.489411412909379E-3</v>
      </c>
      <c r="AW37" s="84">
        <f t="shared" si="76"/>
        <v>4.3789171319227787E-3</v>
      </c>
      <c r="AX37" s="42">
        <f t="shared" si="142"/>
        <v>2.639489953632148E-2</v>
      </c>
      <c r="AY37" s="43">
        <f t="shared" si="77"/>
        <v>3.1461198786369091E-2</v>
      </c>
      <c r="AZ37" s="85">
        <f t="shared" si="143"/>
        <v>0</v>
      </c>
      <c r="BA37" s="86">
        <f t="shared" si="78"/>
        <v>0</v>
      </c>
      <c r="BB37" s="85">
        <f t="shared" si="144"/>
        <v>0</v>
      </c>
      <c r="BC37" s="86">
        <f t="shared" si="79"/>
        <v>0</v>
      </c>
      <c r="BD37" s="85">
        <f t="shared" si="145"/>
        <v>0</v>
      </c>
      <c r="BE37" s="86">
        <f t="shared" si="80"/>
        <v>0</v>
      </c>
      <c r="BF37" s="85">
        <f t="shared" si="146"/>
        <v>0</v>
      </c>
      <c r="BG37" s="86">
        <f t="shared" si="81"/>
        <v>0</v>
      </c>
      <c r="BH37" s="85">
        <f t="shared" si="147"/>
        <v>0</v>
      </c>
      <c r="BI37" s="86">
        <f t="shared" si="82"/>
        <v>0</v>
      </c>
      <c r="BJ37" s="85">
        <f t="shared" si="148"/>
        <v>0</v>
      </c>
      <c r="BK37" s="207">
        <f t="shared" si="149"/>
        <v>0</v>
      </c>
      <c r="BL37" s="85">
        <f t="shared" si="83"/>
        <v>6.5724426867522723E-2</v>
      </c>
      <c r="BM37" s="176">
        <f t="shared" si="84"/>
        <v>6.5724426867522723E-2</v>
      </c>
      <c r="BN37" s="176">
        <f t="shared" si="85"/>
        <v>6.5724426867522723E-2</v>
      </c>
      <c r="BO37" s="176">
        <f t="shared" si="86"/>
        <v>0.23020229526453975</v>
      </c>
      <c r="BP37" s="86">
        <f t="shared" si="87"/>
        <v>0.2313761152613121</v>
      </c>
      <c r="BQ37" s="211">
        <f t="shared" si="88"/>
        <v>2.2709058292984742E-3</v>
      </c>
      <c r="BR37" s="237">
        <f t="shared" si="150"/>
        <v>2.5000000000000001E-3</v>
      </c>
      <c r="BS37" s="237">
        <f t="shared" si="151"/>
        <v>0</v>
      </c>
      <c r="BT37" s="237">
        <f t="shared" si="152"/>
        <v>0</v>
      </c>
      <c r="BU37" s="237">
        <f t="shared" si="153"/>
        <v>0</v>
      </c>
      <c r="BV37" s="237">
        <f t="shared" si="154"/>
        <v>0</v>
      </c>
      <c r="BW37" s="237">
        <f t="shared" si="155"/>
        <v>0</v>
      </c>
      <c r="BX37" s="212">
        <f t="shared" si="156"/>
        <v>0</v>
      </c>
      <c r="BY37" s="238">
        <f t="shared" si="89"/>
        <v>4.7709058292984743E-3</v>
      </c>
      <c r="BZ37" s="244">
        <f t="shared" si="90"/>
        <v>1.2327774501906004E-4</v>
      </c>
      <c r="CA37" s="243">
        <f t="shared" si="157"/>
        <v>6.819485294117647E-2</v>
      </c>
      <c r="CB37" s="243">
        <f t="shared" si="158"/>
        <v>0.1008</v>
      </c>
      <c r="CC37" s="238">
        <f t="shared" si="91"/>
        <v>0.16911813068619552</v>
      </c>
      <c r="CD37" s="244">
        <f t="shared" si="159"/>
        <v>0.15</v>
      </c>
      <c r="CE37" s="243">
        <f t="shared" si="160"/>
        <v>0.09</v>
      </c>
      <c r="CF37" s="243">
        <f t="shared" si="42"/>
        <v>0</v>
      </c>
      <c r="CG37" s="243">
        <f t="shared" si="161"/>
        <v>0</v>
      </c>
      <c r="CH37" s="243">
        <f t="shared" si="44"/>
        <v>0</v>
      </c>
      <c r="CI37" s="243">
        <f t="shared" si="162"/>
        <v>0</v>
      </c>
      <c r="CJ37" s="243">
        <f t="shared" si="46"/>
        <v>0</v>
      </c>
      <c r="CK37" s="243">
        <f t="shared" si="163"/>
        <v>0</v>
      </c>
      <c r="CL37" s="243">
        <f t="shared" si="48"/>
        <v>0</v>
      </c>
      <c r="CM37" s="243">
        <f t="shared" si="164"/>
        <v>0</v>
      </c>
      <c r="CN37" s="243">
        <f t="shared" si="50"/>
        <v>0</v>
      </c>
      <c r="CO37" s="243">
        <f t="shared" si="165"/>
        <v>0</v>
      </c>
      <c r="CP37" s="243">
        <f t="shared" si="52"/>
        <v>0</v>
      </c>
      <c r="CQ37" s="243">
        <f t="shared" si="166"/>
        <v>0</v>
      </c>
      <c r="CR37" s="238">
        <f t="shared" si="167"/>
        <v>0.24</v>
      </c>
      <c r="CS37" s="246">
        <f t="shared" si="168"/>
        <v>2.0833311921745572E-2</v>
      </c>
      <c r="CT37" s="188">
        <f t="shared" si="92"/>
        <v>0.43472234843723961</v>
      </c>
      <c r="CU37" s="206">
        <f t="shared" si="169"/>
        <v>7.9347223484372398</v>
      </c>
      <c r="CV37" s="227">
        <f t="shared" si="170"/>
        <v>0.94521265781620456</v>
      </c>
      <c r="CW37">
        <f t="shared" si="171"/>
        <v>81.64</v>
      </c>
      <c r="CX37">
        <f t="shared" si="172"/>
        <v>99.937065483451676</v>
      </c>
      <c r="DA37" s="22">
        <v>7000</v>
      </c>
      <c r="DB37" s="22">
        <f t="shared" si="93"/>
        <v>43982.297150257102</v>
      </c>
      <c r="DC37" s="253">
        <f t="shared" si="94"/>
        <v>-14.3195141032274</v>
      </c>
      <c r="DD37" s="93">
        <f t="shared" si="112"/>
        <v>-155.89470659682706</v>
      </c>
      <c r="DE37" s="253">
        <f t="shared" si="113"/>
        <v>-9.6803842761576711</v>
      </c>
      <c r="DF37" s="93">
        <f t="shared" si="114"/>
        <v>-99.357010640096945</v>
      </c>
      <c r="DG37" s="251">
        <f t="shared" si="115"/>
        <v>-6.7175537903810429</v>
      </c>
      <c r="DH37" s="93">
        <f t="shared" si="116"/>
        <v>-88.278052482448345</v>
      </c>
      <c r="DI37" s="91">
        <f t="shared" si="100"/>
        <v>11.681280420025448</v>
      </c>
      <c r="DJ37" s="251">
        <f t="shared" si="101"/>
        <v>164.72247098855334</v>
      </c>
      <c r="DK37" s="92">
        <f t="shared" si="173"/>
        <v>11.668668785345016</v>
      </c>
      <c r="DL37" s="93">
        <f t="shared" si="174"/>
        <v>164.34255407146148</v>
      </c>
      <c r="DM37" s="253">
        <f t="shared" si="102"/>
        <v>-2.6382336832019515</v>
      </c>
      <c r="DN37" s="262">
        <f t="shared" si="175"/>
        <v>8.8277643917262658</v>
      </c>
      <c r="DO37" s="253">
        <f t="shared" si="103"/>
        <v>2.0008961438677773</v>
      </c>
      <c r="DP37" s="259">
        <f t="shared" si="104"/>
        <v>65.365460348456395</v>
      </c>
      <c r="DQ37" s="251">
        <f t="shared" si="105"/>
        <v>4.9637266296444054</v>
      </c>
      <c r="DR37" s="259">
        <f t="shared" si="106"/>
        <v>76.444418506104995</v>
      </c>
      <c r="DS37" s="253">
        <f t="shared" si="107"/>
        <v>-2.6508453178823839</v>
      </c>
      <c r="DT37" s="261">
        <f t="shared" si="176"/>
        <v>8.4478474746344023</v>
      </c>
      <c r="DU37" s="253">
        <f t="shared" si="108"/>
        <v>1.9882845091873449</v>
      </c>
      <c r="DV37" s="93">
        <f t="shared" si="109"/>
        <v>64.985543431364533</v>
      </c>
      <c r="DW37" s="251">
        <f t="shared" si="110"/>
        <v>4.951114994963973</v>
      </c>
      <c r="DX37" s="93">
        <f t="shared" si="111"/>
        <v>76.064501589013133</v>
      </c>
    </row>
    <row r="38" spans="1:128" ht="15.75" thickBot="1" x14ac:dyDescent="0.3">
      <c r="A38" s="12" t="s">
        <v>175</v>
      </c>
      <c r="B38" s="8">
        <f>VLOOKUP(ILrms_Total_Max_FB_CCM,V4:AL54,14,FALSE)</f>
        <v>0</v>
      </c>
      <c r="C38" s="12" t="s">
        <v>6</v>
      </c>
      <c r="L38" s="58">
        <v>34</v>
      </c>
      <c r="M38" s="62">
        <f t="shared" si="117"/>
        <v>42.72</v>
      </c>
      <c r="N38" s="42">
        <f t="shared" si="118"/>
        <v>5.3767126143186377E-4</v>
      </c>
      <c r="O38" s="19">
        <f t="shared" si="119"/>
        <v>4.839041352886774E-4</v>
      </c>
      <c r="P38" s="43">
        <f t="shared" si="120"/>
        <v>4.3991285026243396E-4</v>
      </c>
      <c r="Q38" s="60">
        <f t="shared" si="121"/>
        <v>0.4885057471264368</v>
      </c>
      <c r="R38" s="63">
        <f t="shared" si="122"/>
        <v>0.175561797752809</v>
      </c>
      <c r="S38" s="28">
        <f t="shared" si="123"/>
        <v>0.35938532716457372</v>
      </c>
      <c r="T38" s="12">
        <f t="shared" si="124"/>
        <v>0.43477011494252876</v>
      </c>
      <c r="U38" s="12">
        <f t="shared" si="64"/>
        <v>0.57677038463583807</v>
      </c>
      <c r="V38" s="55">
        <f t="shared" si="125"/>
        <v>0.54260679528544031</v>
      </c>
      <c r="W38" s="54">
        <f t="shared" si="65"/>
        <v>0.26606262328986796</v>
      </c>
      <c r="X38" s="55">
        <f t="shared" si="66"/>
        <v>0.19991842006600585</v>
      </c>
      <c r="Y38" s="54">
        <f t="shared" si="126"/>
        <v>0.73745112532152635</v>
      </c>
      <c r="Z38" s="55">
        <f t="shared" si="67"/>
        <v>0.54206472144752749</v>
      </c>
      <c r="AA38" s="54">
        <f t="shared" si="127"/>
        <v>0</v>
      </c>
      <c r="AB38" s="55">
        <f t="shared" si="68"/>
        <v>0</v>
      </c>
      <c r="AC38" s="54">
        <f t="shared" si="128"/>
        <v>0</v>
      </c>
      <c r="AD38" s="55">
        <f t="shared" si="69"/>
        <v>0</v>
      </c>
      <c r="AE38" s="54">
        <f t="shared" si="129"/>
        <v>0</v>
      </c>
      <c r="AF38" s="55">
        <f t="shared" si="70"/>
        <v>0</v>
      </c>
      <c r="AG38" s="54">
        <f t="shared" si="130"/>
        <v>0</v>
      </c>
      <c r="AH38" s="55">
        <f t="shared" si="71"/>
        <v>0</v>
      </c>
      <c r="AI38" s="54">
        <f t="shared" si="131"/>
        <v>0</v>
      </c>
      <c r="AJ38" s="177">
        <f t="shared" si="73"/>
        <v>0</v>
      </c>
      <c r="AK38" s="54">
        <f t="shared" si="132"/>
        <v>0</v>
      </c>
      <c r="AL38" s="55">
        <f t="shared" si="133"/>
        <v>0</v>
      </c>
      <c r="AM38" s="179">
        <f t="shared" si="134"/>
        <v>7.5236013833879081E-2</v>
      </c>
      <c r="AN38" s="52">
        <f t="shared" si="135"/>
        <v>0</v>
      </c>
      <c r="AO38" s="74">
        <f t="shared" si="136"/>
        <v>0</v>
      </c>
      <c r="AP38" s="78">
        <v>0</v>
      </c>
      <c r="AQ38" s="87">
        <f t="shared" si="137"/>
        <v>0</v>
      </c>
      <c r="AR38" s="46">
        <f t="shared" si="138"/>
        <v>226.77289297857794</v>
      </c>
      <c r="AS38" s="69">
        <f t="shared" si="139"/>
        <v>0.17007966973393346</v>
      </c>
      <c r="AT38" s="42">
        <f t="shared" si="140"/>
        <v>227.8168979971654</v>
      </c>
      <c r="AU38" s="79">
        <f t="shared" si="141"/>
        <v>0.17086267349787407</v>
      </c>
      <c r="AV38" s="83">
        <f t="shared" si="75"/>
        <v>3.3152106648229825E-3</v>
      </c>
      <c r="AW38" s="84">
        <f t="shared" si="76"/>
        <v>4.29889377583627E-3</v>
      </c>
      <c r="AX38" s="42">
        <f t="shared" si="142"/>
        <v>2.639489953632148E-2</v>
      </c>
      <c r="AY38" s="43">
        <f t="shared" si="77"/>
        <v>3.1022892770443265E-2</v>
      </c>
      <c r="AZ38" s="85">
        <f t="shared" si="143"/>
        <v>0</v>
      </c>
      <c r="BA38" s="86">
        <f t="shared" si="78"/>
        <v>0</v>
      </c>
      <c r="BB38" s="85">
        <f t="shared" si="144"/>
        <v>0</v>
      </c>
      <c r="BC38" s="86">
        <f t="shared" si="79"/>
        <v>0</v>
      </c>
      <c r="BD38" s="85">
        <f t="shared" si="145"/>
        <v>0</v>
      </c>
      <c r="BE38" s="86">
        <f t="shared" si="80"/>
        <v>0</v>
      </c>
      <c r="BF38" s="85">
        <f t="shared" si="146"/>
        <v>0</v>
      </c>
      <c r="BG38" s="86">
        <f t="shared" si="81"/>
        <v>0</v>
      </c>
      <c r="BH38" s="85">
        <f t="shared" si="147"/>
        <v>0</v>
      </c>
      <c r="BI38" s="86">
        <f t="shared" si="82"/>
        <v>0</v>
      </c>
      <c r="BJ38" s="85">
        <f t="shared" si="148"/>
        <v>0</v>
      </c>
      <c r="BK38" s="207">
        <f t="shared" si="149"/>
        <v>0</v>
      </c>
      <c r="BL38" s="85">
        <f t="shared" si="83"/>
        <v>6.503189674742399E-2</v>
      </c>
      <c r="BM38" s="176">
        <f t="shared" si="84"/>
        <v>6.503189674742399E-2</v>
      </c>
      <c r="BN38" s="176">
        <f t="shared" si="85"/>
        <v>6.503189674742399E-2</v>
      </c>
      <c r="BO38" s="176">
        <f t="shared" si="86"/>
        <v>0.23511156648135745</v>
      </c>
      <c r="BP38" s="86">
        <f t="shared" si="87"/>
        <v>0.23589457024529806</v>
      </c>
      <c r="BQ38" s="211">
        <f t="shared" si="88"/>
        <v>2.1575361381138752E-3</v>
      </c>
      <c r="BR38" s="237">
        <f t="shared" si="150"/>
        <v>2.5000000000000001E-3</v>
      </c>
      <c r="BS38" s="237">
        <f t="shared" si="151"/>
        <v>0</v>
      </c>
      <c r="BT38" s="237">
        <f t="shared" si="152"/>
        <v>0</v>
      </c>
      <c r="BU38" s="237">
        <f t="shared" si="153"/>
        <v>0</v>
      </c>
      <c r="BV38" s="237">
        <f t="shared" si="154"/>
        <v>0</v>
      </c>
      <c r="BW38" s="237">
        <f t="shared" si="155"/>
        <v>0</v>
      </c>
      <c r="BX38" s="212">
        <f t="shared" si="156"/>
        <v>0</v>
      </c>
      <c r="BY38" s="238">
        <f t="shared" si="89"/>
        <v>4.6575361381138748E-3</v>
      </c>
      <c r="BZ38" s="244">
        <f t="shared" si="90"/>
        <v>1.1712339035475321E-4</v>
      </c>
      <c r="CA38" s="243">
        <f t="shared" si="157"/>
        <v>6.9088235294117659E-2</v>
      </c>
      <c r="CB38" s="243">
        <f t="shared" si="158"/>
        <v>0.1008</v>
      </c>
      <c r="CC38" s="238">
        <f t="shared" si="91"/>
        <v>0.17000535868447242</v>
      </c>
      <c r="CD38" s="244">
        <f t="shared" si="159"/>
        <v>0.15</v>
      </c>
      <c r="CE38" s="243">
        <f t="shared" si="160"/>
        <v>0.09</v>
      </c>
      <c r="CF38" s="243">
        <f t="shared" si="42"/>
        <v>0</v>
      </c>
      <c r="CG38" s="243">
        <f t="shared" si="161"/>
        <v>0</v>
      </c>
      <c r="CH38" s="243">
        <f t="shared" si="44"/>
        <v>0</v>
      </c>
      <c r="CI38" s="243">
        <f t="shared" si="162"/>
        <v>0</v>
      </c>
      <c r="CJ38" s="243">
        <f t="shared" si="46"/>
        <v>0</v>
      </c>
      <c r="CK38" s="243">
        <f t="shared" si="163"/>
        <v>0</v>
      </c>
      <c r="CL38" s="243">
        <f t="shared" si="48"/>
        <v>0</v>
      </c>
      <c r="CM38" s="243">
        <f t="shared" si="164"/>
        <v>0</v>
      </c>
      <c r="CN38" s="243">
        <f t="shared" si="50"/>
        <v>0</v>
      </c>
      <c r="CO38" s="243">
        <f t="shared" si="165"/>
        <v>0</v>
      </c>
      <c r="CP38" s="243">
        <f t="shared" si="52"/>
        <v>0</v>
      </c>
      <c r="CQ38" s="243">
        <f t="shared" si="166"/>
        <v>0</v>
      </c>
      <c r="CR38" s="238">
        <f t="shared" si="167"/>
        <v>0.24</v>
      </c>
      <c r="CS38" s="246">
        <f t="shared" si="168"/>
        <v>2.0232779450333586E-2</v>
      </c>
      <c r="CT38" s="188">
        <f t="shared" si="92"/>
        <v>0.43489567427291986</v>
      </c>
      <c r="CU38" s="206">
        <f t="shared" si="169"/>
        <v>7.9348956742729202</v>
      </c>
      <c r="CV38" s="227">
        <f t="shared" si="170"/>
        <v>0.94519201107042028</v>
      </c>
      <c r="CW38">
        <f t="shared" si="171"/>
        <v>82.72</v>
      </c>
      <c r="CX38">
        <f t="shared" si="172"/>
        <v>100.95908102380633</v>
      </c>
      <c r="DA38" s="22">
        <v>8000</v>
      </c>
      <c r="DB38" s="22">
        <f t="shared" si="93"/>
        <v>50265.482457436687</v>
      </c>
      <c r="DC38" s="253">
        <f t="shared" si="94"/>
        <v>-14.645348527772391</v>
      </c>
      <c r="DD38" s="93">
        <f t="shared" si="112"/>
        <v>-159.80670486339883</v>
      </c>
      <c r="DE38" s="253">
        <f t="shared" si="113"/>
        <v>-10.820310665989277</v>
      </c>
      <c r="DF38" s="93">
        <f t="shared" si="114"/>
        <v>-100.72045853577096</v>
      </c>
      <c r="DG38" s="251">
        <f t="shared" si="115"/>
        <v>-7.845285713312558</v>
      </c>
      <c r="DH38" s="93">
        <f t="shared" si="116"/>
        <v>-88.123594144979975</v>
      </c>
      <c r="DI38" s="91">
        <f t="shared" si="100"/>
        <v>11.596352222919236</v>
      </c>
      <c r="DJ38" s="251">
        <f t="shared" si="101"/>
        <v>162.80361287054112</v>
      </c>
      <c r="DK38" s="92">
        <f t="shared" si="173"/>
        <v>11.579658988251495</v>
      </c>
      <c r="DL38" s="93">
        <f t="shared" si="174"/>
        <v>162.38270139434499</v>
      </c>
      <c r="DM38" s="253">
        <f t="shared" si="102"/>
        <v>-3.048996304853155</v>
      </c>
      <c r="DN38" s="262">
        <f t="shared" si="175"/>
        <v>2.9969080071422733</v>
      </c>
      <c r="DO38" s="253">
        <f t="shared" si="103"/>
        <v>0.77604155692995924</v>
      </c>
      <c r="DP38" s="259">
        <f t="shared" si="104"/>
        <v>62.083154334770157</v>
      </c>
      <c r="DQ38" s="251">
        <f t="shared" si="105"/>
        <v>3.7510665096066784</v>
      </c>
      <c r="DR38" s="259">
        <f t="shared" si="106"/>
        <v>74.680018725561141</v>
      </c>
      <c r="DS38" s="253">
        <f t="shared" si="107"/>
        <v>-3.0656895395208963</v>
      </c>
      <c r="DT38" s="261">
        <f t="shared" si="176"/>
        <v>2.575996530946012</v>
      </c>
      <c r="DU38" s="253">
        <f t="shared" si="108"/>
        <v>0.75934832226221793</v>
      </c>
      <c r="DV38" s="93">
        <f t="shared" si="109"/>
        <v>61.662242858574032</v>
      </c>
      <c r="DW38" s="251">
        <f t="shared" si="110"/>
        <v>3.7343732749389371</v>
      </c>
      <c r="DX38" s="93">
        <f t="shared" si="111"/>
        <v>74.259107249365016</v>
      </c>
    </row>
    <row r="39" spans="1:128" ht="15.75" thickBot="1" x14ac:dyDescent="0.3">
      <c r="A39" s="12" t="s">
        <v>410</v>
      </c>
      <c r="B39" s="8">
        <f>VLOOKUP(ILrms_Total_Max_FB_CCM,V4:AL54,16,FALSE)</f>
        <v>0</v>
      </c>
      <c r="C39" s="12" t="s">
        <v>6</v>
      </c>
      <c r="D39" s="115"/>
      <c r="E39" s="115"/>
      <c r="F39" s="115"/>
      <c r="G39" s="115"/>
      <c r="H39" s="115"/>
      <c r="I39" s="115"/>
      <c r="J39" s="115"/>
      <c r="L39" s="58">
        <v>35</v>
      </c>
      <c r="M39" s="62">
        <f t="shared" si="117"/>
        <v>43.800000000000004</v>
      </c>
      <c r="N39" s="42">
        <f t="shared" si="118"/>
        <v>5.5086198436251265E-4</v>
      </c>
      <c r="O39" s="19">
        <f t="shared" si="119"/>
        <v>4.957757859262613E-4</v>
      </c>
      <c r="P39" s="43">
        <f t="shared" si="120"/>
        <v>4.5070525993296478E-4</v>
      </c>
      <c r="Q39" s="60">
        <f t="shared" si="121"/>
        <v>0.48226950354609927</v>
      </c>
      <c r="R39" s="63">
        <f t="shared" si="122"/>
        <v>0.17123287671232876</v>
      </c>
      <c r="S39" s="28">
        <f t="shared" si="123"/>
        <v>0.35505640612409345</v>
      </c>
      <c r="T39" s="12">
        <f t="shared" si="124"/>
        <v>0.44007092198581571</v>
      </c>
      <c r="U39" s="12">
        <f t="shared" si="64"/>
        <v>0.57509186711700133</v>
      </c>
      <c r="V39" s="55">
        <f t="shared" si="125"/>
        <v>0.5374426632210747</v>
      </c>
      <c r="W39" s="54">
        <f t="shared" si="65"/>
        <v>0.26187869889052345</v>
      </c>
      <c r="X39" s="55">
        <f t="shared" si="66"/>
        <v>0.19814074509149768</v>
      </c>
      <c r="Y39" s="54">
        <f t="shared" si="126"/>
        <v>0.73483723821480329</v>
      </c>
      <c r="Z39" s="55">
        <f t="shared" si="67"/>
        <v>0.53850326523351699</v>
      </c>
      <c r="AA39" s="54">
        <f t="shared" si="127"/>
        <v>0</v>
      </c>
      <c r="AB39" s="55">
        <f t="shared" si="68"/>
        <v>0</v>
      </c>
      <c r="AC39" s="54">
        <f t="shared" si="128"/>
        <v>0</v>
      </c>
      <c r="AD39" s="55">
        <f t="shared" si="69"/>
        <v>0</v>
      </c>
      <c r="AE39" s="54">
        <f t="shared" si="129"/>
        <v>0</v>
      </c>
      <c r="AF39" s="55">
        <f t="shared" si="70"/>
        <v>0</v>
      </c>
      <c r="AG39" s="54">
        <f t="shared" si="130"/>
        <v>0</v>
      </c>
      <c r="AH39" s="55">
        <f t="shared" si="71"/>
        <v>0</v>
      </c>
      <c r="AI39" s="54">
        <f t="shared" si="131"/>
        <v>0</v>
      </c>
      <c r="AJ39" s="177">
        <f t="shared" si="73"/>
        <v>0</v>
      </c>
      <c r="AK39" s="54">
        <f t="shared" si="132"/>
        <v>0</v>
      </c>
      <c r="AL39" s="55">
        <f t="shared" si="133"/>
        <v>0</v>
      </c>
      <c r="AM39" s="179">
        <f t="shared" si="134"/>
        <v>7.6153306854564687E-2</v>
      </c>
      <c r="AN39" s="52">
        <f t="shared" si="135"/>
        <v>0</v>
      </c>
      <c r="AO39" s="74">
        <f t="shared" si="136"/>
        <v>0</v>
      </c>
      <c r="AP39" s="78">
        <v>0</v>
      </c>
      <c r="AQ39" s="87">
        <f t="shared" si="137"/>
        <v>0</v>
      </c>
      <c r="AR39" s="46">
        <f t="shared" si="138"/>
        <v>234.20204961591259</v>
      </c>
      <c r="AS39" s="69">
        <f t="shared" si="139"/>
        <v>0.17565153721193447</v>
      </c>
      <c r="AT39" s="42">
        <f t="shared" si="140"/>
        <v>234.71069925892198</v>
      </c>
      <c r="AU39" s="79">
        <f t="shared" si="141"/>
        <v>0.17603302444419147</v>
      </c>
      <c r="AV39" s="83">
        <f t="shared" si="75"/>
        <v>3.1537364519947861E-3</v>
      </c>
      <c r="AW39" s="84">
        <f t="shared" si="76"/>
        <v>4.222782136078432E-3</v>
      </c>
      <c r="AX39" s="42">
        <f t="shared" si="142"/>
        <v>2.639489953632148E-2</v>
      </c>
      <c r="AY39" s="43">
        <f t="shared" si="77"/>
        <v>3.061658071257135E-2</v>
      </c>
      <c r="AZ39" s="85">
        <f t="shared" si="143"/>
        <v>0</v>
      </c>
      <c r="BA39" s="86">
        <f t="shared" si="78"/>
        <v>0</v>
      </c>
      <c r="BB39" s="85">
        <f t="shared" si="144"/>
        <v>0</v>
      </c>
      <c r="BC39" s="86">
        <f t="shared" si="79"/>
        <v>0</v>
      </c>
      <c r="BD39" s="85">
        <f t="shared" si="145"/>
        <v>0</v>
      </c>
      <c r="BE39" s="86">
        <f t="shared" si="80"/>
        <v>0</v>
      </c>
      <c r="BF39" s="85">
        <f t="shared" si="146"/>
        <v>0</v>
      </c>
      <c r="BG39" s="86">
        <f t="shared" si="81"/>
        <v>0</v>
      </c>
      <c r="BH39" s="85">
        <f t="shared" si="147"/>
        <v>0</v>
      </c>
      <c r="BI39" s="86">
        <f t="shared" si="82"/>
        <v>0</v>
      </c>
      <c r="BJ39" s="85">
        <f t="shared" si="148"/>
        <v>0</v>
      </c>
      <c r="BK39" s="207">
        <f t="shared" si="149"/>
        <v>0</v>
      </c>
      <c r="BL39" s="85">
        <f t="shared" si="83"/>
        <v>6.4387998836966054E-2</v>
      </c>
      <c r="BM39" s="176">
        <f t="shared" si="84"/>
        <v>6.4387998836966054E-2</v>
      </c>
      <c r="BN39" s="176">
        <f t="shared" si="85"/>
        <v>6.4387998836966054E-2</v>
      </c>
      <c r="BO39" s="176">
        <f t="shared" si="86"/>
        <v>0.24003953604890052</v>
      </c>
      <c r="BP39" s="86">
        <f t="shared" si="87"/>
        <v>0.24042102328115753</v>
      </c>
      <c r="BQ39" s="211">
        <f t="shared" si="88"/>
        <v>2.052448864702571E-3</v>
      </c>
      <c r="BR39" s="237">
        <f t="shared" si="150"/>
        <v>2.5000000000000001E-3</v>
      </c>
      <c r="BS39" s="237">
        <f t="shared" si="151"/>
        <v>0</v>
      </c>
      <c r="BT39" s="237">
        <f t="shared" si="152"/>
        <v>0</v>
      </c>
      <c r="BU39" s="237">
        <f t="shared" si="153"/>
        <v>0</v>
      </c>
      <c r="BV39" s="237">
        <f t="shared" si="154"/>
        <v>0</v>
      </c>
      <c r="BW39" s="237">
        <f t="shared" si="155"/>
        <v>0</v>
      </c>
      <c r="BX39" s="212">
        <f t="shared" si="156"/>
        <v>0</v>
      </c>
      <c r="BY39" s="238">
        <f t="shared" si="89"/>
        <v>4.5524488647025706E-3</v>
      </c>
      <c r="BZ39" s="244">
        <f t="shared" si="90"/>
        <v>1.1141865265528241E-4</v>
      </c>
      <c r="CA39" s="243">
        <f t="shared" si="157"/>
        <v>6.9981617647058847E-2</v>
      </c>
      <c r="CB39" s="243">
        <f t="shared" si="158"/>
        <v>0.1008</v>
      </c>
      <c r="CC39" s="238">
        <f t="shared" si="91"/>
        <v>0.17089303629971414</v>
      </c>
      <c r="CD39" s="244">
        <f t="shared" si="159"/>
        <v>0.15</v>
      </c>
      <c r="CE39" s="243">
        <f t="shared" si="160"/>
        <v>0.09</v>
      </c>
      <c r="CF39" s="243">
        <f t="shared" si="42"/>
        <v>0</v>
      </c>
      <c r="CG39" s="243">
        <f t="shared" si="161"/>
        <v>0</v>
      </c>
      <c r="CH39" s="243">
        <f t="shared" si="44"/>
        <v>0</v>
      </c>
      <c r="CI39" s="243">
        <f t="shared" si="162"/>
        <v>0</v>
      </c>
      <c r="CJ39" s="243">
        <f t="shared" si="46"/>
        <v>0</v>
      </c>
      <c r="CK39" s="243">
        <f t="shared" si="163"/>
        <v>0</v>
      </c>
      <c r="CL39" s="243">
        <f t="shared" si="48"/>
        <v>0</v>
      </c>
      <c r="CM39" s="243">
        <f t="shared" si="164"/>
        <v>0</v>
      </c>
      <c r="CN39" s="243">
        <f t="shared" si="50"/>
        <v>0</v>
      </c>
      <c r="CO39" s="243">
        <f t="shared" si="165"/>
        <v>0</v>
      </c>
      <c r="CP39" s="243">
        <f t="shared" si="52"/>
        <v>0</v>
      </c>
      <c r="CQ39" s="243">
        <f t="shared" si="166"/>
        <v>0</v>
      </c>
      <c r="CR39" s="238">
        <f t="shared" si="167"/>
        <v>0.24</v>
      </c>
      <c r="CS39" s="246">
        <f t="shared" si="168"/>
        <v>1.9634010220585901E-2</v>
      </c>
      <c r="CT39" s="188">
        <f t="shared" si="92"/>
        <v>0.43507949538500262</v>
      </c>
      <c r="CU39" s="206">
        <f t="shared" si="169"/>
        <v>7.9350794953850023</v>
      </c>
      <c r="CV39" s="227">
        <f t="shared" si="170"/>
        <v>0.94517011510243321</v>
      </c>
      <c r="CW39">
        <f t="shared" si="171"/>
        <v>83.800000000000011</v>
      </c>
      <c r="CX39">
        <f t="shared" si="172"/>
        <v>101.98600163928617</v>
      </c>
      <c r="DA39" s="22">
        <v>9000</v>
      </c>
      <c r="DB39" s="22">
        <f t="shared" si="93"/>
        <v>56548.667764616279</v>
      </c>
      <c r="DC39" s="253">
        <f t="shared" si="94"/>
        <v>-14.904951429090008</v>
      </c>
      <c r="DD39" s="93">
        <f t="shared" si="112"/>
        <v>-163.08645725354242</v>
      </c>
      <c r="DE39" s="253">
        <f t="shared" si="113"/>
        <v>-11.820701289296442</v>
      </c>
      <c r="DF39" s="93">
        <f t="shared" si="114"/>
        <v>-102.06228101256372</v>
      </c>
      <c r="DG39" s="251">
        <f t="shared" si="115"/>
        <v>-8.8326919683178815</v>
      </c>
      <c r="DH39" s="93">
        <f t="shared" si="116"/>
        <v>-87.979622560869913</v>
      </c>
      <c r="DI39" s="91">
        <f t="shared" si="100"/>
        <v>11.502107135223444</v>
      </c>
      <c r="DJ39" s="251">
        <f t="shared" si="101"/>
        <v>160.90945600712706</v>
      </c>
      <c r="DK39" s="92">
        <f t="shared" si="173"/>
        <v>11.480981980110201</v>
      </c>
      <c r="DL39" s="93">
        <f t="shared" si="174"/>
        <v>160.44985568997316</v>
      </c>
      <c r="DM39" s="253">
        <f t="shared" si="102"/>
        <v>-3.4028442938665648</v>
      </c>
      <c r="DN39" s="262">
        <f t="shared" si="175"/>
        <v>-2.1770012464153523</v>
      </c>
      <c r="DO39" s="253">
        <f t="shared" si="103"/>
        <v>-0.31859415407299885</v>
      </c>
      <c r="DP39" s="259">
        <f t="shared" si="104"/>
        <v>58.847174994563346</v>
      </c>
      <c r="DQ39" s="251">
        <f t="shared" si="105"/>
        <v>2.6694151669055621</v>
      </c>
      <c r="DR39" s="259">
        <f t="shared" si="106"/>
        <v>72.929833446257149</v>
      </c>
      <c r="DS39" s="253">
        <f t="shared" si="107"/>
        <v>-3.4239694489798076</v>
      </c>
      <c r="DT39" s="261">
        <f t="shared" si="176"/>
        <v>-2.6366015635691866</v>
      </c>
      <c r="DU39" s="253">
        <f t="shared" si="108"/>
        <v>-0.3397193091862416</v>
      </c>
      <c r="DV39" s="93">
        <f t="shared" si="109"/>
        <v>58.387574677409447</v>
      </c>
      <c r="DW39" s="251">
        <f t="shared" si="110"/>
        <v>2.6482900117923194</v>
      </c>
      <c r="DX39" s="93">
        <f t="shared" si="111"/>
        <v>72.470233129103249</v>
      </c>
    </row>
    <row r="40" spans="1:128" ht="15.75" thickBot="1" x14ac:dyDescent="0.3">
      <c r="A40" s="201" t="s">
        <v>385</v>
      </c>
      <c r="B40" s="201"/>
      <c r="C40" s="12"/>
      <c r="D40" s="115"/>
      <c r="E40" s="115"/>
      <c r="F40" s="115"/>
      <c r="G40" s="115"/>
      <c r="H40" s="115"/>
      <c r="I40" s="115"/>
      <c r="J40" s="115"/>
      <c r="L40" s="58">
        <v>36</v>
      </c>
      <c r="M40" s="62">
        <f t="shared" si="117"/>
        <v>44.88</v>
      </c>
      <c r="N40" s="42">
        <f t="shared" si="118"/>
        <v>5.6387402368354744E-4</v>
      </c>
      <c r="O40" s="19">
        <f t="shared" si="119"/>
        <v>5.0748662131519268E-4</v>
      </c>
      <c r="P40" s="43">
        <f t="shared" si="120"/>
        <v>4.6135147392290237E-4</v>
      </c>
      <c r="Q40" s="60">
        <f t="shared" si="121"/>
        <v>0.47619047619047616</v>
      </c>
      <c r="R40" s="63">
        <f t="shared" si="122"/>
        <v>0.16711229946524064</v>
      </c>
      <c r="S40" s="28">
        <f t="shared" si="123"/>
        <v>0.35093582887700536</v>
      </c>
      <c r="T40" s="12">
        <f t="shared" si="124"/>
        <v>0.44523809523809527</v>
      </c>
      <c r="U40" s="12">
        <f t="shared" si="64"/>
        <v>0.57355487649605297</v>
      </c>
      <c r="V40" s="55">
        <f t="shared" si="125"/>
        <v>0.53255156467644871</v>
      </c>
      <c r="W40" s="54">
        <f t="shared" si="65"/>
        <v>0.25789966928577435</v>
      </c>
      <c r="X40" s="55">
        <f t="shared" si="66"/>
        <v>0.1964324789467147</v>
      </c>
      <c r="Y40" s="54">
        <f t="shared" si="126"/>
        <v>0.73240505437513148</v>
      </c>
      <c r="Z40" s="55">
        <f t="shared" si="67"/>
        <v>0.53517956208569784</v>
      </c>
      <c r="AA40" s="54">
        <f t="shared" si="127"/>
        <v>0</v>
      </c>
      <c r="AB40" s="55">
        <f t="shared" si="68"/>
        <v>0</v>
      </c>
      <c r="AC40" s="54">
        <f t="shared" si="128"/>
        <v>0</v>
      </c>
      <c r="AD40" s="55">
        <f t="shared" si="69"/>
        <v>0</v>
      </c>
      <c r="AE40" s="54">
        <f t="shared" si="129"/>
        <v>0</v>
      </c>
      <c r="AF40" s="55">
        <f t="shared" si="70"/>
        <v>0</v>
      </c>
      <c r="AG40" s="54">
        <f t="shared" si="130"/>
        <v>0</v>
      </c>
      <c r="AH40" s="55">
        <f t="shared" si="71"/>
        <v>0</v>
      </c>
      <c r="AI40" s="54">
        <f t="shared" si="131"/>
        <v>0</v>
      </c>
      <c r="AJ40" s="177">
        <f t="shared" si="73"/>
        <v>0</v>
      </c>
      <c r="AK40" s="54">
        <f t="shared" si="132"/>
        <v>0</v>
      </c>
      <c r="AL40" s="55">
        <f t="shared" si="133"/>
        <v>0</v>
      </c>
      <c r="AM40" s="179">
        <f t="shared" si="134"/>
        <v>7.7047474841115335E-2</v>
      </c>
      <c r="AN40" s="52">
        <f t="shared" si="135"/>
        <v>0</v>
      </c>
      <c r="AO40" s="74">
        <f t="shared" si="136"/>
        <v>0</v>
      </c>
      <c r="AP40" s="78">
        <v>0</v>
      </c>
      <c r="AQ40" s="87">
        <f t="shared" si="137"/>
        <v>0</v>
      </c>
      <c r="AR40" s="46">
        <f t="shared" si="138"/>
        <v>241.58832444935894</v>
      </c>
      <c r="AS40" s="69">
        <f t="shared" si="139"/>
        <v>0.18119124333701922</v>
      </c>
      <c r="AT40" s="42">
        <f t="shared" si="140"/>
        <v>241.54842441425194</v>
      </c>
      <c r="AU40" s="79">
        <f t="shared" si="141"/>
        <v>0.18116131831068896</v>
      </c>
      <c r="AV40" s="83">
        <f t="shared" si="75"/>
        <v>3.003778624045622E-3</v>
      </c>
      <c r="AW40" s="84">
        <f t="shared" si="76"/>
        <v>4.1502827654491051E-3</v>
      </c>
      <c r="AX40" s="42">
        <f t="shared" si="142"/>
        <v>2.639489953632148E-2</v>
      </c>
      <c r="AY40" s="43">
        <f t="shared" si="77"/>
        <v>3.023980904263877E-2</v>
      </c>
      <c r="AZ40" s="85">
        <f t="shared" si="143"/>
        <v>0</v>
      </c>
      <c r="BA40" s="86">
        <f t="shared" si="78"/>
        <v>0</v>
      </c>
      <c r="BB40" s="85">
        <f t="shared" si="144"/>
        <v>0</v>
      </c>
      <c r="BC40" s="86">
        <f t="shared" si="79"/>
        <v>0</v>
      </c>
      <c r="BD40" s="85">
        <f t="shared" si="145"/>
        <v>0</v>
      </c>
      <c r="BE40" s="86">
        <f t="shared" si="80"/>
        <v>0</v>
      </c>
      <c r="BF40" s="85">
        <f t="shared" si="146"/>
        <v>0</v>
      </c>
      <c r="BG40" s="86">
        <f t="shared" si="81"/>
        <v>0</v>
      </c>
      <c r="BH40" s="85">
        <f t="shared" si="147"/>
        <v>0</v>
      </c>
      <c r="BI40" s="86">
        <f t="shared" si="82"/>
        <v>0</v>
      </c>
      <c r="BJ40" s="85">
        <f t="shared" si="148"/>
        <v>0</v>
      </c>
      <c r="BK40" s="207">
        <f t="shared" si="149"/>
        <v>0</v>
      </c>
      <c r="BL40" s="85">
        <f t="shared" si="83"/>
        <v>6.3788769968454978E-2</v>
      </c>
      <c r="BM40" s="176">
        <f t="shared" si="84"/>
        <v>6.3788769968454978E-2</v>
      </c>
      <c r="BN40" s="176">
        <f t="shared" si="85"/>
        <v>6.3788769968454978E-2</v>
      </c>
      <c r="BO40" s="176">
        <f t="shared" si="86"/>
        <v>0.2449800133054742</v>
      </c>
      <c r="BP40" s="86">
        <f t="shared" si="87"/>
        <v>0.24495008827914394</v>
      </c>
      <c r="BQ40" s="211">
        <f t="shared" si="88"/>
        <v>1.9548564442792189E-3</v>
      </c>
      <c r="BR40" s="237">
        <f t="shared" si="150"/>
        <v>2.5000000000000001E-3</v>
      </c>
      <c r="BS40" s="237">
        <f t="shared" si="151"/>
        <v>0</v>
      </c>
      <c r="BT40" s="237">
        <f t="shared" si="152"/>
        <v>0</v>
      </c>
      <c r="BU40" s="237">
        <f t="shared" si="153"/>
        <v>0</v>
      </c>
      <c r="BV40" s="237">
        <f t="shared" si="154"/>
        <v>0</v>
      </c>
      <c r="BW40" s="237">
        <f t="shared" si="155"/>
        <v>0</v>
      </c>
      <c r="BX40" s="212">
        <f t="shared" si="156"/>
        <v>0</v>
      </c>
      <c r="BY40" s="238">
        <f t="shared" si="89"/>
        <v>4.4548564442792194E-3</v>
      </c>
      <c r="BZ40" s="244">
        <f t="shared" si="90"/>
        <v>1.0612077840372901E-4</v>
      </c>
      <c r="CA40" s="243">
        <f t="shared" si="157"/>
        <v>7.0875000000000021E-2</v>
      </c>
      <c r="CB40" s="243">
        <f t="shared" si="158"/>
        <v>0.1008</v>
      </c>
      <c r="CC40" s="238">
        <f t="shared" si="91"/>
        <v>0.17178112077840374</v>
      </c>
      <c r="CD40" s="244">
        <f t="shared" si="159"/>
        <v>0.15</v>
      </c>
      <c r="CE40" s="243">
        <f t="shared" si="160"/>
        <v>0.09</v>
      </c>
      <c r="CF40" s="243">
        <f t="shared" si="42"/>
        <v>0</v>
      </c>
      <c r="CG40" s="243">
        <f t="shared" si="161"/>
        <v>0</v>
      </c>
      <c r="CH40" s="243">
        <f t="shared" si="44"/>
        <v>0</v>
      </c>
      <c r="CI40" s="243">
        <f t="shared" si="162"/>
        <v>0</v>
      </c>
      <c r="CJ40" s="243">
        <f t="shared" si="46"/>
        <v>0</v>
      </c>
      <c r="CK40" s="243">
        <f t="shared" si="163"/>
        <v>0</v>
      </c>
      <c r="CL40" s="243">
        <f t="shared" si="48"/>
        <v>0</v>
      </c>
      <c r="CM40" s="243">
        <f t="shared" si="164"/>
        <v>0</v>
      </c>
      <c r="CN40" s="243">
        <f t="shared" si="50"/>
        <v>0</v>
      </c>
      <c r="CO40" s="243">
        <f t="shared" si="165"/>
        <v>0</v>
      </c>
      <c r="CP40" s="243">
        <f t="shared" si="52"/>
        <v>0</v>
      </c>
      <c r="CQ40" s="243">
        <f t="shared" si="166"/>
        <v>0</v>
      </c>
      <c r="CR40" s="238">
        <f t="shared" si="167"/>
        <v>0.24</v>
      </c>
      <c r="CS40" s="246">
        <f t="shared" si="168"/>
        <v>1.90347183638798E-2</v>
      </c>
      <c r="CT40" s="188">
        <f t="shared" si="92"/>
        <v>0.43527069558656278</v>
      </c>
      <c r="CU40" s="206">
        <f t="shared" si="169"/>
        <v>7.9352706955865626</v>
      </c>
      <c r="CV40" s="227">
        <f t="shared" si="170"/>
        <v>0.94514734124588196</v>
      </c>
      <c r="CW40">
        <f t="shared" si="171"/>
        <v>84.88</v>
      </c>
      <c r="CX40">
        <f t="shared" si="172"/>
        <v>103.01739772824101</v>
      </c>
      <c r="DA40" s="22">
        <v>10000</v>
      </c>
      <c r="DB40" s="22">
        <f t="shared" si="93"/>
        <v>62831.853071795864</v>
      </c>
      <c r="DC40" s="253">
        <f t="shared" si="94"/>
        <v>-15.121250517558851</v>
      </c>
      <c r="DD40" s="93">
        <f t="shared" si="112"/>
        <v>-165.87003459184314</v>
      </c>
      <c r="DE40" s="253">
        <f t="shared" si="113"/>
        <v>-12.710420364210016</v>
      </c>
      <c r="DF40" s="93">
        <f t="shared" si="114"/>
        <v>-103.3832020308796</v>
      </c>
      <c r="DG40" s="251">
        <f t="shared" si="115"/>
        <v>-9.7089036654679184</v>
      </c>
      <c r="DH40" s="93">
        <f t="shared" si="116"/>
        <v>-87.848947927380095</v>
      </c>
      <c r="DI40" s="91">
        <f t="shared" si="100"/>
        <v>11.399164033408674</v>
      </c>
      <c r="DJ40" s="251">
        <f t="shared" si="101"/>
        <v>159.04791552127892</v>
      </c>
      <c r="DK40" s="92">
        <f t="shared" si="173"/>
        <v>11.373311944792235</v>
      </c>
      <c r="DL40" s="93">
        <f t="shared" si="174"/>
        <v>158.55221535856583</v>
      </c>
      <c r="DM40" s="253">
        <f t="shared" si="102"/>
        <v>-3.7220864841501768</v>
      </c>
      <c r="DN40" s="262">
        <f t="shared" si="175"/>
        <v>-6.822119070564213</v>
      </c>
      <c r="DO40" s="253">
        <f t="shared" si="103"/>
        <v>-1.3112563308013421</v>
      </c>
      <c r="DP40" s="259">
        <f t="shared" si="104"/>
        <v>55.664713490399322</v>
      </c>
      <c r="DQ40" s="251">
        <f t="shared" si="105"/>
        <v>1.6902603679407555</v>
      </c>
      <c r="DR40" s="259">
        <f t="shared" si="106"/>
        <v>71.198967593898828</v>
      </c>
      <c r="DS40" s="253">
        <f t="shared" si="107"/>
        <v>-3.7479385727666159</v>
      </c>
      <c r="DT40" s="261">
        <f t="shared" si="176"/>
        <v>-7.3178192332772962</v>
      </c>
      <c r="DU40" s="253">
        <f t="shared" si="108"/>
        <v>-1.3371084194177811</v>
      </c>
      <c r="DV40" s="93">
        <f t="shared" si="109"/>
        <v>55.16901332768623</v>
      </c>
      <c r="DW40" s="251">
        <f t="shared" si="110"/>
        <v>1.6644082793243165</v>
      </c>
      <c r="DX40" s="93">
        <f t="shared" si="111"/>
        <v>70.703267431185736</v>
      </c>
    </row>
    <row r="41" spans="1:128" ht="15.75" thickBot="1" x14ac:dyDescent="0.3">
      <c r="A41" s="12" t="s">
        <v>386</v>
      </c>
      <c r="B41" s="19">
        <f>IF(AND(Vout1&lt;&gt;0,Iout1&lt;&gt;0,Vout1_Ripple&lt;&gt;0),(Iout1*B7)/(Fsw*Vout1_Ripple*(10^-3)),0)</f>
        <v>2.9059829059829059E-5</v>
      </c>
      <c r="C41" s="12" t="s">
        <v>343</v>
      </c>
      <c r="D41" s="115"/>
      <c r="E41" s="115"/>
      <c r="F41" s="115"/>
      <c r="G41" s="115"/>
      <c r="H41" s="115"/>
      <c r="I41" s="116"/>
      <c r="J41" s="115"/>
      <c r="L41" s="58">
        <v>37</v>
      </c>
      <c r="M41" s="62">
        <f t="shared" si="117"/>
        <v>45.96</v>
      </c>
      <c r="N41" s="42">
        <f t="shared" si="118"/>
        <v>5.7670837810371684E-4</v>
      </c>
      <c r="O41" s="19">
        <f t="shared" si="119"/>
        <v>5.1903754029334519E-4</v>
      </c>
      <c r="P41" s="43">
        <f t="shared" si="120"/>
        <v>4.718523093575864E-4</v>
      </c>
      <c r="Q41" s="60">
        <f t="shared" si="121"/>
        <v>0.47026279391424625</v>
      </c>
      <c r="R41" s="63">
        <f t="shared" si="122"/>
        <v>0.16318537859007834</v>
      </c>
      <c r="S41" s="28">
        <f t="shared" si="123"/>
        <v>0.34700890800184303</v>
      </c>
      <c r="T41" s="12">
        <f t="shared" si="124"/>
        <v>0.45027662517289085</v>
      </c>
      <c r="U41" s="12">
        <f t="shared" si="64"/>
        <v>0.57214722058828849</v>
      </c>
      <c r="V41" s="55">
        <f t="shared" si="125"/>
        <v>0.52791388815560725</v>
      </c>
      <c r="W41" s="54">
        <f t="shared" si="65"/>
        <v>0.25411065338151595</v>
      </c>
      <c r="X41" s="55">
        <f t="shared" si="66"/>
        <v>0.19478900476257316</v>
      </c>
      <c r="Y41" s="54">
        <f t="shared" si="126"/>
        <v>0.73014195939757687</v>
      </c>
      <c r="Z41" s="55">
        <f t="shared" si="67"/>
        <v>0.53207826574004391</v>
      </c>
      <c r="AA41" s="54">
        <f t="shared" si="127"/>
        <v>0</v>
      </c>
      <c r="AB41" s="55">
        <f t="shared" si="68"/>
        <v>0</v>
      </c>
      <c r="AC41" s="54">
        <f t="shared" si="128"/>
        <v>0</v>
      </c>
      <c r="AD41" s="55">
        <f t="shared" si="69"/>
        <v>0</v>
      </c>
      <c r="AE41" s="54">
        <f t="shared" si="129"/>
        <v>0</v>
      </c>
      <c r="AF41" s="55">
        <f t="shared" si="70"/>
        <v>0</v>
      </c>
      <c r="AG41" s="54">
        <f t="shared" si="130"/>
        <v>0</v>
      </c>
      <c r="AH41" s="55">
        <f t="shared" si="71"/>
        <v>0</v>
      </c>
      <c r="AI41" s="54">
        <f t="shared" si="131"/>
        <v>0</v>
      </c>
      <c r="AJ41" s="177">
        <f t="shared" si="73"/>
        <v>0</v>
      </c>
      <c r="AK41" s="54">
        <f t="shared" si="132"/>
        <v>0</v>
      </c>
      <c r="AL41" s="55">
        <f t="shared" si="133"/>
        <v>0</v>
      </c>
      <c r="AM41" s="179">
        <f t="shared" si="134"/>
        <v>7.7919381384017439E-2</v>
      </c>
      <c r="AN41" s="52">
        <f t="shared" si="135"/>
        <v>0</v>
      </c>
      <c r="AO41" s="74">
        <f t="shared" si="136"/>
        <v>0</v>
      </c>
      <c r="AP41" s="78">
        <v>0</v>
      </c>
      <c r="AQ41" s="87">
        <f t="shared" si="137"/>
        <v>0</v>
      </c>
      <c r="AR41" s="46">
        <f t="shared" si="138"/>
        <v>248.92905543026319</v>
      </c>
      <c r="AS41" s="69">
        <f t="shared" si="139"/>
        <v>0.18669679157269742</v>
      </c>
      <c r="AT41" s="42">
        <f t="shared" si="140"/>
        <v>248.32842905744886</v>
      </c>
      <c r="AU41" s="79">
        <f t="shared" si="141"/>
        <v>0.18624632179308664</v>
      </c>
      <c r="AV41" s="83">
        <f t="shared" si="75"/>
        <v>2.864267523924803E-3</v>
      </c>
      <c r="AW41" s="84">
        <f t="shared" si="76"/>
        <v>4.0811256812243102E-3</v>
      </c>
      <c r="AX41" s="42">
        <f t="shared" si="142"/>
        <v>2.639489953632148E-2</v>
      </c>
      <c r="AY41" s="43">
        <f t="shared" si="77"/>
        <v>2.9890352946568836E-2</v>
      </c>
      <c r="AZ41" s="85">
        <f t="shared" si="143"/>
        <v>0</v>
      </c>
      <c r="BA41" s="86">
        <f t="shared" si="78"/>
        <v>0</v>
      </c>
      <c r="BB41" s="85">
        <f t="shared" si="144"/>
        <v>0</v>
      </c>
      <c r="BC41" s="86">
        <f t="shared" si="79"/>
        <v>0</v>
      </c>
      <c r="BD41" s="85">
        <f t="shared" si="145"/>
        <v>0</v>
      </c>
      <c r="BE41" s="86">
        <f t="shared" si="80"/>
        <v>0</v>
      </c>
      <c r="BF41" s="85">
        <f t="shared" si="146"/>
        <v>0</v>
      </c>
      <c r="BG41" s="86">
        <f t="shared" si="81"/>
        <v>0</v>
      </c>
      <c r="BH41" s="85">
        <f t="shared" si="147"/>
        <v>0</v>
      </c>
      <c r="BI41" s="86">
        <f t="shared" si="82"/>
        <v>0</v>
      </c>
      <c r="BJ41" s="85">
        <f t="shared" si="148"/>
        <v>0</v>
      </c>
      <c r="BK41" s="207">
        <f t="shared" si="149"/>
        <v>0</v>
      </c>
      <c r="BL41" s="85">
        <f t="shared" si="83"/>
        <v>6.3230645688039433E-2</v>
      </c>
      <c r="BM41" s="176">
        <f t="shared" si="84"/>
        <v>6.3230645688039433E-2</v>
      </c>
      <c r="BN41" s="176">
        <f t="shared" si="85"/>
        <v>6.3230645688039433E-2</v>
      </c>
      <c r="BO41" s="176">
        <f t="shared" si="86"/>
        <v>0.24992743726073685</v>
      </c>
      <c r="BP41" s="86">
        <f t="shared" si="87"/>
        <v>0.24947696748112608</v>
      </c>
      <c r="BQ41" s="211">
        <f t="shared" si="88"/>
        <v>1.8640627449911038E-3</v>
      </c>
      <c r="BR41" s="237">
        <f t="shared" si="150"/>
        <v>2.5000000000000001E-3</v>
      </c>
      <c r="BS41" s="237">
        <f t="shared" si="151"/>
        <v>0</v>
      </c>
      <c r="BT41" s="237">
        <f t="shared" si="152"/>
        <v>0</v>
      </c>
      <c r="BU41" s="237">
        <f t="shared" si="153"/>
        <v>0</v>
      </c>
      <c r="BV41" s="237">
        <f t="shared" si="154"/>
        <v>0</v>
      </c>
      <c r="BW41" s="237">
        <f t="shared" si="155"/>
        <v>0</v>
      </c>
      <c r="BX41" s="212">
        <f t="shared" si="156"/>
        <v>0</v>
      </c>
      <c r="BY41" s="238">
        <f t="shared" si="89"/>
        <v>4.3640627449911037E-3</v>
      </c>
      <c r="BZ41" s="244">
        <f t="shared" si="90"/>
        <v>1.0119197758523134E-4</v>
      </c>
      <c r="CA41" s="243">
        <f t="shared" si="157"/>
        <v>7.1768382352941196E-2</v>
      </c>
      <c r="CB41" s="243">
        <f t="shared" si="158"/>
        <v>0.1008</v>
      </c>
      <c r="CC41" s="238">
        <f t="shared" si="91"/>
        <v>0.17266957433052643</v>
      </c>
      <c r="CD41" s="244">
        <f t="shared" si="159"/>
        <v>0.15</v>
      </c>
      <c r="CE41" s="243">
        <f t="shared" si="160"/>
        <v>0.09</v>
      </c>
      <c r="CF41" s="243">
        <f t="shared" si="42"/>
        <v>0</v>
      </c>
      <c r="CG41" s="243">
        <f t="shared" si="161"/>
        <v>0</v>
      </c>
      <c r="CH41" s="243">
        <f t="shared" si="44"/>
        <v>0</v>
      </c>
      <c r="CI41" s="243">
        <f t="shared" si="162"/>
        <v>0</v>
      </c>
      <c r="CJ41" s="243">
        <f t="shared" si="46"/>
        <v>0</v>
      </c>
      <c r="CK41" s="243">
        <f t="shared" si="163"/>
        <v>0</v>
      </c>
      <c r="CL41" s="243">
        <f t="shared" si="48"/>
        <v>0</v>
      </c>
      <c r="CM41" s="243">
        <f t="shared" si="164"/>
        <v>0</v>
      </c>
      <c r="CN41" s="243">
        <f t="shared" si="50"/>
        <v>0</v>
      </c>
      <c r="CO41" s="243">
        <f t="shared" si="165"/>
        <v>0</v>
      </c>
      <c r="CP41" s="243">
        <f t="shared" si="52"/>
        <v>0</v>
      </c>
      <c r="CQ41" s="243">
        <f t="shared" si="166"/>
        <v>0</v>
      </c>
      <c r="CR41" s="238">
        <f t="shared" si="167"/>
        <v>0.24</v>
      </c>
      <c r="CS41" s="246">
        <f t="shared" si="168"/>
        <v>1.8432743690646701E-2</v>
      </c>
      <c r="CT41" s="188">
        <f t="shared" si="92"/>
        <v>0.43546638076616423</v>
      </c>
      <c r="CU41" s="206">
        <f t="shared" si="169"/>
        <v>7.9354663807661643</v>
      </c>
      <c r="CV41" s="227">
        <f t="shared" si="170"/>
        <v>0.94512403431994374</v>
      </c>
      <c r="CW41">
        <f t="shared" si="171"/>
        <v>85.960000000000008</v>
      </c>
      <c r="CX41">
        <f t="shared" si="172"/>
        <v>104.05288373993776</v>
      </c>
      <c r="DA41" s="22">
        <v>20000</v>
      </c>
      <c r="DB41" s="22">
        <f t="shared" si="93"/>
        <v>125663.70614359173</v>
      </c>
      <c r="DC41" s="253">
        <f t="shared" si="94"/>
        <v>-16.453681488734926</v>
      </c>
      <c r="DD41" s="93">
        <f t="shared" si="112"/>
        <v>-179.8837097594994</v>
      </c>
      <c r="DE41" s="253">
        <f t="shared" si="113"/>
        <v>-18.324670029763801</v>
      </c>
      <c r="DF41" s="93">
        <f t="shared" si="114"/>
        <v>-115.40912754379249</v>
      </c>
      <c r="DG41" s="251">
        <f t="shared" si="115"/>
        <v>-15.216300469629454</v>
      </c>
      <c r="DH41" s="93">
        <f t="shared" si="116"/>
        <v>-87.535077691568901</v>
      </c>
      <c r="DI41" s="91">
        <f t="shared" si="100"/>
        <v>10.032787751641166</v>
      </c>
      <c r="DJ41" s="251">
        <f t="shared" si="101"/>
        <v>142.93696017980275</v>
      </c>
      <c r="DK41" s="92">
        <f t="shared" si="173"/>
        <v>9.9540991622843382</v>
      </c>
      <c r="DL41" s="93">
        <f t="shared" si="174"/>
        <v>142.23024081419172</v>
      </c>
      <c r="DM41" s="253">
        <f t="shared" si="102"/>
        <v>-6.4208937370937598</v>
      </c>
      <c r="DN41" s="262">
        <f t="shared" si="175"/>
        <v>-36.946749579696636</v>
      </c>
      <c r="DO41" s="253">
        <f t="shared" si="103"/>
        <v>-8.2918822781226353</v>
      </c>
      <c r="DP41" s="259">
        <f t="shared" si="104"/>
        <v>27.52783263601026</v>
      </c>
      <c r="DQ41" s="251">
        <f t="shared" si="105"/>
        <v>-5.1835127179882878</v>
      </c>
      <c r="DR41" s="259">
        <f t="shared" si="106"/>
        <v>55.401882488233852</v>
      </c>
      <c r="DS41" s="253">
        <f t="shared" si="107"/>
        <v>-6.4995823264505876</v>
      </c>
      <c r="DT41" s="261">
        <f t="shared" si="176"/>
        <v>-37.653468945307829</v>
      </c>
      <c r="DU41" s="253">
        <f t="shared" si="108"/>
        <v>-8.3705708674794632</v>
      </c>
      <c r="DV41" s="93">
        <f t="shared" si="109"/>
        <v>26.821113270399223</v>
      </c>
      <c r="DW41" s="251">
        <f t="shared" si="110"/>
        <v>-5.2622013073451157</v>
      </c>
      <c r="DX41" s="93">
        <f t="shared" si="111"/>
        <v>54.695163122622816</v>
      </c>
    </row>
    <row r="42" spans="1:128" ht="15.75" thickBot="1" x14ac:dyDescent="0.3">
      <c r="A42" s="12" t="s">
        <v>387</v>
      </c>
      <c r="B42" s="190">
        <f>COUT1_FlyB_CCM</f>
        <v>3.3E-4</v>
      </c>
      <c r="C42" s="12" t="s">
        <v>343</v>
      </c>
      <c r="D42" s="115"/>
      <c r="E42" s="115"/>
      <c r="F42" s="115"/>
      <c r="G42" s="115"/>
      <c r="H42" s="115"/>
      <c r="I42" s="116"/>
      <c r="J42" s="115"/>
      <c r="L42" s="58">
        <v>38</v>
      </c>
      <c r="M42" s="62">
        <f t="shared" si="117"/>
        <v>47.040000000000006</v>
      </c>
      <c r="N42" s="42">
        <f t="shared" si="118"/>
        <v>5.8936627283917467E-4</v>
      </c>
      <c r="O42" s="19">
        <f t="shared" si="119"/>
        <v>5.3042964555525716E-4</v>
      </c>
      <c r="P42" s="43">
        <f t="shared" si="120"/>
        <v>4.8220876868659742E-4</v>
      </c>
      <c r="Q42" s="60">
        <f t="shared" si="121"/>
        <v>0.46448087431693996</v>
      </c>
      <c r="R42" s="63">
        <f t="shared" si="122"/>
        <v>0.15943877551020405</v>
      </c>
      <c r="S42" s="28">
        <f t="shared" si="123"/>
        <v>0.34326230492196869</v>
      </c>
      <c r="T42" s="12">
        <f t="shared" si="124"/>
        <v>0.4551912568306013</v>
      </c>
      <c r="U42" s="12">
        <f t="shared" si="64"/>
        <v>0.57085793333726931</v>
      </c>
      <c r="V42" s="55">
        <f t="shared" si="125"/>
        <v>0.52351179044340723</v>
      </c>
      <c r="W42" s="54">
        <f t="shared" si="65"/>
        <v>0.25049814850944596</v>
      </c>
      <c r="X42" s="55">
        <f t="shared" si="66"/>
        <v>0.19320610567595217</v>
      </c>
      <c r="Y42" s="54">
        <f t="shared" si="126"/>
        <v>0.72803637849056335</v>
      </c>
      <c r="Z42" s="55">
        <f t="shared" si="67"/>
        <v>0.52918519291988397</v>
      </c>
      <c r="AA42" s="54">
        <f t="shared" si="127"/>
        <v>0</v>
      </c>
      <c r="AB42" s="55">
        <f t="shared" si="68"/>
        <v>0</v>
      </c>
      <c r="AC42" s="54">
        <f t="shared" si="128"/>
        <v>0</v>
      </c>
      <c r="AD42" s="55">
        <f t="shared" si="69"/>
        <v>0</v>
      </c>
      <c r="AE42" s="54">
        <f t="shared" si="129"/>
        <v>0</v>
      </c>
      <c r="AF42" s="55">
        <f t="shared" si="70"/>
        <v>0</v>
      </c>
      <c r="AG42" s="54">
        <f t="shared" si="130"/>
        <v>0</v>
      </c>
      <c r="AH42" s="55">
        <f t="shared" si="71"/>
        <v>0</v>
      </c>
      <c r="AI42" s="54">
        <f t="shared" si="131"/>
        <v>0</v>
      </c>
      <c r="AJ42" s="177">
        <f t="shared" si="73"/>
        <v>0</v>
      </c>
      <c r="AK42" s="54">
        <f t="shared" si="132"/>
        <v>0</v>
      </c>
      <c r="AL42" s="55">
        <f t="shared" si="133"/>
        <v>0</v>
      </c>
      <c r="AM42" s="179">
        <f t="shared" si="134"/>
        <v>7.8769847602094087E-2</v>
      </c>
      <c r="AN42" s="52">
        <f t="shared" si="135"/>
        <v>0</v>
      </c>
      <c r="AO42" s="74">
        <f t="shared" si="136"/>
        <v>0</v>
      </c>
      <c r="AP42" s="78">
        <v>0</v>
      </c>
      <c r="AQ42" s="87">
        <f t="shared" si="137"/>
        <v>0</v>
      </c>
      <c r="AR42" s="46">
        <f t="shared" si="138"/>
        <v>256.22186372958089</v>
      </c>
      <c r="AS42" s="69">
        <f t="shared" si="139"/>
        <v>0.19216639779718564</v>
      </c>
      <c r="AT42" s="42">
        <f t="shared" si="140"/>
        <v>255.04929888163284</v>
      </c>
      <c r="AU42" s="79">
        <f t="shared" si="141"/>
        <v>0.19128697416122464</v>
      </c>
      <c r="AV42" s="83">
        <f t="shared" si="75"/>
        <v>2.7342548600648511E-3</v>
      </c>
      <c r="AW42" s="84">
        <f t="shared" si="76"/>
        <v>4.0150668975018223E-3</v>
      </c>
      <c r="AX42" s="42">
        <f t="shared" si="142"/>
        <v>2.639489953632148E-2</v>
      </c>
      <c r="AY42" s="43">
        <f t="shared" si="77"/>
        <v>2.9566190590093168E-2</v>
      </c>
      <c r="AZ42" s="85">
        <f t="shared" si="143"/>
        <v>0</v>
      </c>
      <c r="BA42" s="86">
        <f t="shared" si="78"/>
        <v>0</v>
      </c>
      <c r="BB42" s="85">
        <f t="shared" si="144"/>
        <v>0</v>
      </c>
      <c r="BC42" s="86">
        <f t="shared" si="79"/>
        <v>0</v>
      </c>
      <c r="BD42" s="85">
        <f t="shared" si="145"/>
        <v>0</v>
      </c>
      <c r="BE42" s="86">
        <f t="shared" si="80"/>
        <v>0</v>
      </c>
      <c r="BF42" s="85">
        <f t="shared" si="146"/>
        <v>0</v>
      </c>
      <c r="BG42" s="86">
        <f t="shared" si="81"/>
        <v>0</v>
      </c>
      <c r="BH42" s="85">
        <f t="shared" si="147"/>
        <v>0</v>
      </c>
      <c r="BI42" s="86">
        <f t="shared" si="82"/>
        <v>0</v>
      </c>
      <c r="BJ42" s="85">
        <f t="shared" si="148"/>
        <v>0</v>
      </c>
      <c r="BK42" s="207">
        <f t="shared" si="149"/>
        <v>0</v>
      </c>
      <c r="BL42" s="85">
        <f t="shared" si="83"/>
        <v>6.2710411883981326E-2</v>
      </c>
      <c r="BM42" s="176">
        <f t="shared" si="84"/>
        <v>6.2710411883981326E-2</v>
      </c>
      <c r="BN42" s="176">
        <f t="shared" si="85"/>
        <v>6.2710411883981326E-2</v>
      </c>
      <c r="BO42" s="176">
        <f t="shared" si="86"/>
        <v>0.25487680968116699</v>
      </c>
      <c r="BP42" s="86">
        <f t="shared" si="87"/>
        <v>0.25399738604520594</v>
      </c>
      <c r="BQ42" s="211">
        <f t="shared" si="88"/>
        <v>1.7794506195335273E-3</v>
      </c>
      <c r="BR42" s="237">
        <f t="shared" si="150"/>
        <v>2.5000000000000001E-3</v>
      </c>
      <c r="BS42" s="237">
        <f t="shared" si="151"/>
        <v>0</v>
      </c>
      <c r="BT42" s="237">
        <f t="shared" si="152"/>
        <v>0</v>
      </c>
      <c r="BU42" s="237">
        <f t="shared" si="153"/>
        <v>0</v>
      </c>
      <c r="BV42" s="237">
        <f t="shared" si="154"/>
        <v>0</v>
      </c>
      <c r="BW42" s="237">
        <f t="shared" si="155"/>
        <v>0</v>
      </c>
      <c r="BX42" s="212">
        <f t="shared" si="156"/>
        <v>0</v>
      </c>
      <c r="BY42" s="238">
        <f t="shared" si="89"/>
        <v>4.2794506195335275E-3</v>
      </c>
      <c r="BZ42" s="244">
        <f t="shared" si="90"/>
        <v>9.6598747917534328E-5</v>
      </c>
      <c r="CA42" s="243">
        <f t="shared" si="157"/>
        <v>7.2661764705882356E-2</v>
      </c>
      <c r="CB42" s="243">
        <f t="shared" si="158"/>
        <v>0.1008</v>
      </c>
      <c r="CC42" s="238">
        <f t="shared" si="91"/>
        <v>0.17355836345379988</v>
      </c>
      <c r="CD42" s="244">
        <f t="shared" si="159"/>
        <v>0.15</v>
      </c>
      <c r="CE42" s="243">
        <f t="shared" si="160"/>
        <v>0.09</v>
      </c>
      <c r="CF42" s="243">
        <f t="shared" si="42"/>
        <v>0</v>
      </c>
      <c r="CG42" s="243">
        <f t="shared" si="161"/>
        <v>0</v>
      </c>
      <c r="CH42" s="243">
        <f t="shared" si="44"/>
        <v>0</v>
      </c>
      <c r="CI42" s="243">
        <f t="shared" si="162"/>
        <v>0</v>
      </c>
      <c r="CJ42" s="243">
        <f t="shared" si="46"/>
        <v>0</v>
      </c>
      <c r="CK42" s="243">
        <f t="shared" si="163"/>
        <v>0</v>
      </c>
      <c r="CL42" s="243">
        <f t="shared" si="48"/>
        <v>0</v>
      </c>
      <c r="CM42" s="243">
        <f t="shared" si="164"/>
        <v>0</v>
      </c>
      <c r="CN42" s="243">
        <f t="shared" si="50"/>
        <v>0</v>
      </c>
      <c r="CO42" s="243">
        <f t="shared" si="165"/>
        <v>0</v>
      </c>
      <c r="CP42" s="243">
        <f t="shared" si="52"/>
        <v>0</v>
      </c>
      <c r="CQ42" s="243">
        <f t="shared" si="166"/>
        <v>0</v>
      </c>
      <c r="CR42" s="238">
        <f t="shared" si="167"/>
        <v>0.24</v>
      </c>
      <c r="CS42" s="246">
        <f t="shared" si="168"/>
        <v>1.7826024753912227E-2</v>
      </c>
      <c r="CT42" s="188">
        <f t="shared" si="92"/>
        <v>0.43566383882724563</v>
      </c>
      <c r="CU42" s="206">
        <f t="shared" si="169"/>
        <v>7.9356638388272458</v>
      </c>
      <c r="CV42" s="227">
        <f t="shared" si="170"/>
        <v>0.94510051740149958</v>
      </c>
      <c r="CW42">
        <f t="shared" si="171"/>
        <v>87.04</v>
      </c>
      <c r="CX42">
        <f t="shared" si="172"/>
        <v>105.09211289722337</v>
      </c>
      <c r="DA42" s="22">
        <v>30000</v>
      </c>
      <c r="DB42" s="22">
        <f t="shared" si="93"/>
        <v>188495.55921538759</v>
      </c>
      <c r="DC42" s="253">
        <f t="shared" si="94"/>
        <v>-17.24857377614217</v>
      </c>
      <c r="DD42" s="93">
        <f t="shared" si="112"/>
        <v>176.07504190694209</v>
      </c>
      <c r="DE42" s="253">
        <f t="shared" si="113"/>
        <v>-21.198061118427802</v>
      </c>
      <c r="DF42" s="93">
        <f t="shared" si="114"/>
        <v>-125.22449495143562</v>
      </c>
      <c r="DG42" s="251">
        <f t="shared" si="115"/>
        <v>-18.155025424534024</v>
      </c>
      <c r="DH42" s="93">
        <f t="shared" si="116"/>
        <v>-89.024266266946398</v>
      </c>
      <c r="DI42" s="91">
        <f t="shared" si="100"/>
        <v>8.4195437091441327</v>
      </c>
      <c r="DJ42" s="251">
        <f t="shared" si="101"/>
        <v>131.50750766390732</v>
      </c>
      <c r="DK42" s="92">
        <f t="shared" si="173"/>
        <v>8.2970083184517556</v>
      </c>
      <c r="DL42" s="93">
        <f t="shared" si="174"/>
        <v>130.78244491923508</v>
      </c>
      <c r="DM42" s="253">
        <f t="shared" si="102"/>
        <v>-8.8290300669980368</v>
      </c>
      <c r="DN42" s="262">
        <f t="shared" si="175"/>
        <v>-52.417450429150563</v>
      </c>
      <c r="DO42" s="253">
        <f t="shared" si="103"/>
        <v>-12.778517409283669</v>
      </c>
      <c r="DP42" s="259">
        <f t="shared" si="104"/>
        <v>6.2830127124717023</v>
      </c>
      <c r="DQ42" s="251">
        <f t="shared" si="105"/>
        <v>-9.7354817153898914</v>
      </c>
      <c r="DR42" s="259">
        <f t="shared" si="106"/>
        <v>42.483241396960921</v>
      </c>
      <c r="DS42" s="253">
        <f t="shared" si="107"/>
        <v>-8.951565457690414</v>
      </c>
      <c r="DT42" s="261">
        <f t="shared" si="176"/>
        <v>-53.142513173822792</v>
      </c>
      <c r="DU42" s="253">
        <f t="shared" si="108"/>
        <v>-12.901052799976046</v>
      </c>
      <c r="DV42" s="93">
        <f t="shared" si="109"/>
        <v>5.557949967799459</v>
      </c>
      <c r="DW42" s="251">
        <f t="shared" si="110"/>
        <v>-9.8580171060822686</v>
      </c>
      <c r="DX42" s="93">
        <f t="shared" si="111"/>
        <v>41.758178652288677</v>
      </c>
    </row>
    <row r="43" spans="1:128" ht="15.75" thickBot="1" x14ac:dyDescent="0.3">
      <c r="A43" s="12" t="s">
        <v>388</v>
      </c>
      <c r="B43" s="190">
        <f>IF(AND(Vout2&lt;&gt;0,Iout2&lt;&gt;0,Vout2_Ripple&lt;&gt;0),(Iout2*B7)/(Fsw*Vout2_Ripple*(10^-3)),0)</f>
        <v>0</v>
      </c>
      <c r="C43" s="12" t="s">
        <v>343</v>
      </c>
      <c r="D43" s="115"/>
      <c r="E43" s="115"/>
      <c r="F43" s="115"/>
      <c r="G43" s="115"/>
      <c r="H43" s="115"/>
      <c r="I43" s="116"/>
      <c r="J43" s="115"/>
      <c r="L43" s="58">
        <v>39</v>
      </c>
      <c r="M43" s="62">
        <f t="shared" si="117"/>
        <v>48.120000000000005</v>
      </c>
      <c r="N43" s="42">
        <f t="shared" si="118"/>
        <v>6.0184912932295578E-4</v>
      </c>
      <c r="O43" s="19">
        <f t="shared" si="119"/>
        <v>5.4166421639066013E-4</v>
      </c>
      <c r="P43" s="43">
        <f t="shared" si="120"/>
        <v>4.9242201490060002E-4</v>
      </c>
      <c r="Q43" s="60">
        <f t="shared" si="121"/>
        <v>0.45883940620782732</v>
      </c>
      <c r="R43" s="63">
        <f t="shared" si="122"/>
        <v>0.15586034912718202</v>
      </c>
      <c r="S43" s="28">
        <f t="shared" si="123"/>
        <v>0.33968387853894672</v>
      </c>
      <c r="T43" s="12">
        <f t="shared" si="124"/>
        <v>0.45998650472334696</v>
      </c>
      <c r="U43" s="12">
        <f t="shared" si="64"/>
        <v>0.56967713090062022</v>
      </c>
      <c r="V43" s="55">
        <f t="shared" si="125"/>
        <v>0.51932900365421319</v>
      </c>
      <c r="W43" s="54">
        <f t="shared" si="65"/>
        <v>0.24704987628497541</v>
      </c>
      <c r="X43" s="55">
        <f t="shared" si="66"/>
        <v>0.1916799231593507</v>
      </c>
      <c r="Y43" s="54">
        <f t="shared" si="126"/>
        <v>0.7260776729846341</v>
      </c>
      <c r="Z43" s="55">
        <f t="shared" si="67"/>
        <v>0.52648721466601756</v>
      </c>
      <c r="AA43" s="54">
        <f t="shared" si="127"/>
        <v>0</v>
      </c>
      <c r="AB43" s="55">
        <f t="shared" si="68"/>
        <v>0</v>
      </c>
      <c r="AC43" s="54">
        <f t="shared" si="128"/>
        <v>0</v>
      </c>
      <c r="AD43" s="55">
        <f t="shared" si="69"/>
        <v>0</v>
      </c>
      <c r="AE43" s="54">
        <f t="shared" si="129"/>
        <v>0</v>
      </c>
      <c r="AF43" s="55">
        <f t="shared" si="70"/>
        <v>0</v>
      </c>
      <c r="AG43" s="54">
        <f t="shared" si="130"/>
        <v>0</v>
      </c>
      <c r="AH43" s="55">
        <f t="shared" si="71"/>
        <v>0</v>
      </c>
      <c r="AI43" s="54">
        <f t="shared" si="131"/>
        <v>0</v>
      </c>
      <c r="AJ43" s="177">
        <f t="shared" si="73"/>
        <v>0</v>
      </c>
      <c r="AK43" s="54">
        <f t="shared" si="132"/>
        <v>0</v>
      </c>
      <c r="AL43" s="55">
        <f t="shared" si="133"/>
        <v>0</v>
      </c>
      <c r="AM43" s="179">
        <f t="shared" si="134"/>
        <v>7.9599654721755897E-2</v>
      </c>
      <c r="AN43" s="52">
        <f t="shared" si="135"/>
        <v>0</v>
      </c>
      <c r="AO43" s="74">
        <f t="shared" si="136"/>
        <v>0</v>
      </c>
      <c r="AP43" s="78">
        <v>0</v>
      </c>
      <c r="AQ43" s="87">
        <f t="shared" si="137"/>
        <v>0</v>
      </c>
      <c r="AR43" s="46">
        <f t="shared" si="138"/>
        <v>263.4646309258921</v>
      </c>
      <c r="AS43" s="69">
        <f t="shared" si="139"/>
        <v>0.19759847319441906</v>
      </c>
      <c r="AT43" s="42">
        <f t="shared" si="140"/>
        <v>261.70982892745678</v>
      </c>
      <c r="AU43" s="79">
        <f t="shared" si="141"/>
        <v>0.19628237169559259</v>
      </c>
      <c r="AV43" s="83">
        <f t="shared" si="75"/>
        <v>2.6128975492503486E-3</v>
      </c>
      <c r="AW43" s="84">
        <f t="shared" si="76"/>
        <v>3.9518854294210287E-3</v>
      </c>
      <c r="AX43" s="42">
        <f t="shared" si="142"/>
        <v>2.639489953632148E-2</v>
      </c>
      <c r="AY43" s="43">
        <f t="shared" si="77"/>
        <v>2.9265480763671137E-2</v>
      </c>
      <c r="AZ43" s="85">
        <f t="shared" si="143"/>
        <v>0</v>
      </c>
      <c r="BA43" s="86">
        <f t="shared" si="78"/>
        <v>0</v>
      </c>
      <c r="BB43" s="85">
        <f t="shared" si="144"/>
        <v>0</v>
      </c>
      <c r="BC43" s="86">
        <f t="shared" si="79"/>
        <v>0</v>
      </c>
      <c r="BD43" s="85">
        <f t="shared" si="145"/>
        <v>0</v>
      </c>
      <c r="BE43" s="86">
        <f t="shared" si="80"/>
        <v>0</v>
      </c>
      <c r="BF43" s="85">
        <f t="shared" si="146"/>
        <v>0</v>
      </c>
      <c r="BG43" s="86">
        <f t="shared" si="81"/>
        <v>0</v>
      </c>
      <c r="BH43" s="85">
        <f t="shared" si="147"/>
        <v>0</v>
      </c>
      <c r="BI43" s="86">
        <f t="shared" si="82"/>
        <v>0</v>
      </c>
      <c r="BJ43" s="85">
        <f t="shared" si="148"/>
        <v>0</v>
      </c>
      <c r="BK43" s="207">
        <f t="shared" si="149"/>
        <v>0</v>
      </c>
      <c r="BL43" s="85">
        <f t="shared" si="83"/>
        <v>6.2225163278663995E-2</v>
      </c>
      <c r="BM43" s="176">
        <f t="shared" si="84"/>
        <v>6.2225163278663995E-2</v>
      </c>
      <c r="BN43" s="176">
        <f t="shared" si="85"/>
        <v>6.2225163278663995E-2</v>
      </c>
      <c r="BO43" s="176">
        <f t="shared" si="86"/>
        <v>0.25982363647308304</v>
      </c>
      <c r="BP43" s="86">
        <f t="shared" si="87"/>
        <v>0.2585075349742566</v>
      </c>
      <c r="BQ43" s="211">
        <f t="shared" si="88"/>
        <v>1.700471390103295E-3</v>
      </c>
      <c r="BR43" s="237">
        <f t="shared" si="150"/>
        <v>2.5000000000000001E-3</v>
      </c>
      <c r="BS43" s="237">
        <f t="shared" si="151"/>
        <v>0</v>
      </c>
      <c r="BT43" s="237">
        <f t="shared" si="152"/>
        <v>0</v>
      </c>
      <c r="BU43" s="237">
        <f t="shared" si="153"/>
        <v>0</v>
      </c>
      <c r="BV43" s="237">
        <f t="shared" si="154"/>
        <v>0</v>
      </c>
      <c r="BW43" s="237">
        <f t="shared" si="155"/>
        <v>0</v>
      </c>
      <c r="BX43" s="212">
        <f t="shared" si="156"/>
        <v>0</v>
      </c>
      <c r="BY43" s="238">
        <f t="shared" si="89"/>
        <v>4.200471390103295E-3</v>
      </c>
      <c r="BZ43" s="244">
        <f t="shared" si="90"/>
        <v>9.2311304034178859E-5</v>
      </c>
      <c r="CA43" s="243">
        <f t="shared" si="157"/>
        <v>7.3555147058823531E-2</v>
      </c>
      <c r="CB43" s="243">
        <f t="shared" si="158"/>
        <v>0.1008</v>
      </c>
      <c r="CC43" s="238">
        <f t="shared" si="91"/>
        <v>0.17444745836285772</v>
      </c>
      <c r="CD43" s="244">
        <f t="shared" si="159"/>
        <v>0.15</v>
      </c>
      <c r="CE43" s="243">
        <f t="shared" si="160"/>
        <v>0.09</v>
      </c>
      <c r="CF43" s="243">
        <f t="shared" si="42"/>
        <v>0</v>
      </c>
      <c r="CG43" s="243">
        <f t="shared" si="161"/>
        <v>0</v>
      </c>
      <c r="CH43" s="243">
        <f t="shared" si="44"/>
        <v>0</v>
      </c>
      <c r="CI43" s="243">
        <f t="shared" si="162"/>
        <v>0</v>
      </c>
      <c r="CJ43" s="243">
        <f t="shared" si="46"/>
        <v>0</v>
      </c>
      <c r="CK43" s="243">
        <f t="shared" si="163"/>
        <v>0</v>
      </c>
      <c r="CL43" s="243">
        <f t="shared" si="48"/>
        <v>0</v>
      </c>
      <c r="CM43" s="243">
        <f t="shared" si="164"/>
        <v>0</v>
      </c>
      <c r="CN43" s="243">
        <f t="shared" si="50"/>
        <v>0</v>
      </c>
      <c r="CO43" s="243">
        <f t="shared" si="165"/>
        <v>0</v>
      </c>
      <c r="CP43" s="243">
        <f t="shared" si="52"/>
        <v>0</v>
      </c>
      <c r="CQ43" s="243">
        <f t="shared" si="166"/>
        <v>0</v>
      </c>
      <c r="CR43" s="238">
        <f t="shared" si="167"/>
        <v>0.24</v>
      </c>
      <c r="CS43" s="246">
        <f t="shared" si="168"/>
        <v>1.7212574884491835E-2</v>
      </c>
      <c r="CT43" s="188">
        <f t="shared" si="92"/>
        <v>0.43586050463745285</v>
      </c>
      <c r="CU43" s="206">
        <f t="shared" si="169"/>
        <v>7.9358605046374526</v>
      </c>
      <c r="CV43" s="227">
        <f t="shared" si="170"/>
        <v>0.94507709600203404</v>
      </c>
      <c r="CW43">
        <f t="shared" si="171"/>
        <v>88.12</v>
      </c>
      <c r="CX43">
        <f t="shared" si="172"/>
        <v>106.13477264555848</v>
      </c>
      <c r="DA43" s="22">
        <v>40000</v>
      </c>
      <c r="DB43" s="22">
        <f t="shared" si="93"/>
        <v>251327.41228718346</v>
      </c>
      <c r="DC43" s="253">
        <f t="shared" si="94"/>
        <v>-17.749234369786027</v>
      </c>
      <c r="DD43" s="93">
        <f t="shared" si="112"/>
        <v>175.02388543428751</v>
      </c>
      <c r="DE43" s="253">
        <f t="shared" si="113"/>
        <v>-22.894642154041737</v>
      </c>
      <c r="DF43" s="93">
        <f t="shared" si="114"/>
        <v>-133.05178129666163</v>
      </c>
      <c r="DG43" s="251">
        <f t="shared" si="115"/>
        <v>-20.124666734880204</v>
      </c>
      <c r="DH43" s="93">
        <f t="shared" si="116"/>
        <v>-91.703378504985722</v>
      </c>
      <c r="DI43" s="91">
        <f t="shared" si="100"/>
        <v>6.8528934094909104</v>
      </c>
      <c r="DJ43" s="251">
        <f t="shared" si="101"/>
        <v>123.59692198098078</v>
      </c>
      <c r="DK43" s="92">
        <f t="shared" si="173"/>
        <v>6.7010884442597254</v>
      </c>
      <c r="DL43" s="93">
        <f t="shared" si="174"/>
        <v>122.92599272617663</v>
      </c>
      <c r="DM43" s="253">
        <f t="shared" si="102"/>
        <v>-10.896340960295117</v>
      </c>
      <c r="DN43" s="262">
        <f t="shared" si="175"/>
        <v>-61.379192584731719</v>
      </c>
      <c r="DO43" s="253">
        <f t="shared" si="103"/>
        <v>-16.041748744550826</v>
      </c>
      <c r="DP43" s="259">
        <f t="shared" si="104"/>
        <v>-9.4548593156808494</v>
      </c>
      <c r="DQ43" s="251">
        <f t="shared" si="105"/>
        <v>-13.271773325389294</v>
      </c>
      <c r="DR43" s="259">
        <f t="shared" si="106"/>
        <v>31.89354347599506</v>
      </c>
      <c r="DS43" s="253">
        <f t="shared" si="107"/>
        <v>-11.048145925526303</v>
      </c>
      <c r="DT43" s="261">
        <f t="shared" si="176"/>
        <v>-62.050121839535898</v>
      </c>
      <c r="DU43" s="253">
        <f t="shared" si="108"/>
        <v>-16.193553709782012</v>
      </c>
      <c r="DV43" s="93">
        <f t="shared" si="109"/>
        <v>-10.125788570485</v>
      </c>
      <c r="DW43" s="251">
        <f t="shared" si="110"/>
        <v>-13.42357829062048</v>
      </c>
      <c r="DX43" s="93">
        <f t="shared" si="111"/>
        <v>31.222614221190909</v>
      </c>
    </row>
    <row r="44" spans="1:128" ht="15.75" thickBot="1" x14ac:dyDescent="0.3">
      <c r="A44" s="12" t="s">
        <v>389</v>
      </c>
      <c r="B44" s="190">
        <f>COUT2_FlyB_CCM</f>
        <v>0</v>
      </c>
      <c r="C44" s="12" t="s">
        <v>343</v>
      </c>
      <c r="D44" s="115"/>
      <c r="E44" s="115"/>
      <c r="F44" s="115"/>
      <c r="G44" s="115"/>
      <c r="H44" s="115"/>
      <c r="I44" s="116"/>
      <c r="J44" s="115"/>
      <c r="L44" s="58">
        <v>40</v>
      </c>
      <c r="M44" s="62">
        <f t="shared" si="117"/>
        <v>49.2</v>
      </c>
      <c r="N44" s="42">
        <f t="shared" si="118"/>
        <v>6.1415853827160498E-4</v>
      </c>
      <c r="O44" s="19">
        <f t="shared" si="119"/>
        <v>5.5274268444444454E-4</v>
      </c>
      <c r="P44" s="43">
        <f t="shared" si="120"/>
        <v>5.0249334949494949E-4</v>
      </c>
      <c r="Q44" s="60">
        <f t="shared" si="121"/>
        <v>0.45333333333333337</v>
      </c>
      <c r="R44" s="63">
        <f t="shared" si="122"/>
        <v>0.1524390243902439</v>
      </c>
      <c r="S44" s="28">
        <f t="shared" si="123"/>
        <v>0.33626255380200859</v>
      </c>
      <c r="T44" s="12">
        <f t="shared" si="124"/>
        <v>0.46466666666666678</v>
      </c>
      <c r="U44" s="12">
        <f t="shared" si="64"/>
        <v>0.56859588713534204</v>
      </c>
      <c r="V44" s="55">
        <f t="shared" si="125"/>
        <v>0.51535066705830967</v>
      </c>
      <c r="W44" s="54">
        <f t="shared" si="65"/>
        <v>0.24375464862637972</v>
      </c>
      <c r="X44" s="55">
        <f t="shared" si="66"/>
        <v>0.19020692040491183</v>
      </c>
      <c r="Y44" s="54">
        <f t="shared" si="126"/>
        <v>0.72425604915181307</v>
      </c>
      <c r="Z44" s="55">
        <f t="shared" si="67"/>
        <v>0.52397216026521254</v>
      </c>
      <c r="AA44" s="54">
        <f t="shared" si="127"/>
        <v>0</v>
      </c>
      <c r="AB44" s="55">
        <f t="shared" si="68"/>
        <v>0</v>
      </c>
      <c r="AC44" s="54">
        <f t="shared" si="128"/>
        <v>0</v>
      </c>
      <c r="AD44" s="55">
        <f t="shared" si="69"/>
        <v>0</v>
      </c>
      <c r="AE44" s="54">
        <f t="shared" si="129"/>
        <v>0</v>
      </c>
      <c r="AF44" s="55">
        <f t="shared" si="70"/>
        <v>0</v>
      </c>
      <c r="AG44" s="54">
        <f t="shared" si="130"/>
        <v>0</v>
      </c>
      <c r="AH44" s="55">
        <f t="shared" si="71"/>
        <v>0</v>
      </c>
      <c r="AI44" s="54">
        <f t="shared" si="131"/>
        <v>0</v>
      </c>
      <c r="AJ44" s="177">
        <f t="shared" si="73"/>
        <v>0</v>
      </c>
      <c r="AK44" s="54">
        <f t="shared" si="132"/>
        <v>0</v>
      </c>
      <c r="AL44" s="55">
        <f t="shared" si="133"/>
        <v>0</v>
      </c>
      <c r="AM44" s="179">
        <f t="shared" si="134"/>
        <v>8.0409546470545823E-2</v>
      </c>
      <c r="AN44" s="52">
        <f t="shared" si="135"/>
        <v>0</v>
      </c>
      <c r="AO44" s="74">
        <f t="shared" si="136"/>
        <v>0</v>
      </c>
      <c r="AP44" s="78">
        <v>0</v>
      </c>
      <c r="AQ44" s="87">
        <f t="shared" si="137"/>
        <v>0</v>
      </c>
      <c r="AR44" s="46">
        <f t="shared" si="138"/>
        <v>270.65547796347948</v>
      </c>
      <c r="AS44" s="69">
        <f t="shared" si="139"/>
        <v>0.20299160847260961</v>
      </c>
      <c r="AT44" s="42">
        <f t="shared" si="140"/>
        <v>268.30900463242676</v>
      </c>
      <c r="AU44" s="79">
        <f t="shared" si="141"/>
        <v>0.20123175347432007</v>
      </c>
      <c r="AV44" s="83">
        <f t="shared" si="75"/>
        <v>2.4994440143783787E-3</v>
      </c>
      <c r="AW44" s="84">
        <f t="shared" si="76"/>
        <v>3.8913806965687079E-3</v>
      </c>
      <c r="AX44" s="42">
        <f t="shared" si="142"/>
        <v>2.639489953632148E-2</v>
      </c>
      <c r="AY44" s="43">
        <f t="shared" si="77"/>
        <v>2.8986543427373706E-2</v>
      </c>
      <c r="AZ44" s="85">
        <f t="shared" si="143"/>
        <v>0</v>
      </c>
      <c r="BA44" s="86">
        <f t="shared" si="78"/>
        <v>0</v>
      </c>
      <c r="BB44" s="85">
        <f t="shared" si="144"/>
        <v>0</v>
      </c>
      <c r="BC44" s="86">
        <f t="shared" si="79"/>
        <v>0</v>
      </c>
      <c r="BD44" s="85">
        <f t="shared" si="145"/>
        <v>0</v>
      </c>
      <c r="BE44" s="86">
        <f t="shared" si="80"/>
        <v>0</v>
      </c>
      <c r="BF44" s="85">
        <f t="shared" si="146"/>
        <v>0</v>
      </c>
      <c r="BG44" s="86">
        <f t="shared" si="81"/>
        <v>0</v>
      </c>
      <c r="BH44" s="85">
        <f t="shared" si="147"/>
        <v>0</v>
      </c>
      <c r="BI44" s="86">
        <f t="shared" si="82"/>
        <v>0</v>
      </c>
      <c r="BJ44" s="85">
        <f t="shared" si="148"/>
        <v>0</v>
      </c>
      <c r="BK44" s="207">
        <f t="shared" si="149"/>
        <v>0</v>
      </c>
      <c r="BL44" s="85">
        <f t="shared" si="83"/>
        <v>6.1772267674642278E-2</v>
      </c>
      <c r="BM44" s="176">
        <f t="shared" si="84"/>
        <v>6.1772267674642278E-2</v>
      </c>
      <c r="BN44" s="176">
        <f t="shared" si="85"/>
        <v>6.1772267674642278E-2</v>
      </c>
      <c r="BO44" s="176">
        <f t="shared" si="86"/>
        <v>0.26476387614725189</v>
      </c>
      <c r="BP44" s="86">
        <f t="shared" si="87"/>
        <v>0.26300402114896237</v>
      </c>
      <c r="BQ44" s="211">
        <f t="shared" si="88"/>
        <v>1.6266359309934566E-3</v>
      </c>
      <c r="BR44" s="237">
        <f t="shared" si="150"/>
        <v>2.5000000000000001E-3</v>
      </c>
      <c r="BS44" s="237">
        <f t="shared" si="151"/>
        <v>0</v>
      </c>
      <c r="BT44" s="237">
        <f t="shared" si="152"/>
        <v>0</v>
      </c>
      <c r="BU44" s="237">
        <f t="shared" si="153"/>
        <v>0</v>
      </c>
      <c r="BV44" s="237">
        <f t="shared" si="154"/>
        <v>0</v>
      </c>
      <c r="BW44" s="237">
        <f t="shared" si="155"/>
        <v>0</v>
      </c>
      <c r="BX44" s="212">
        <f t="shared" si="156"/>
        <v>0</v>
      </c>
      <c r="BY44" s="238">
        <f t="shared" si="89"/>
        <v>4.1266359309934568E-3</v>
      </c>
      <c r="BZ44" s="244">
        <f t="shared" si="90"/>
        <v>8.830309339678763E-5</v>
      </c>
      <c r="CA44" s="243">
        <f t="shared" si="157"/>
        <v>7.4448529411764705E-2</v>
      </c>
      <c r="CB44" s="243">
        <f t="shared" si="158"/>
        <v>0.1008</v>
      </c>
      <c r="CC44" s="238">
        <f t="shared" si="91"/>
        <v>0.17533683250516149</v>
      </c>
      <c r="CD44" s="244">
        <f t="shared" si="159"/>
        <v>0.15</v>
      </c>
      <c r="CE44" s="243">
        <f t="shared" si="160"/>
        <v>0.09</v>
      </c>
      <c r="CF44" s="243">
        <f t="shared" si="42"/>
        <v>0</v>
      </c>
      <c r="CG44" s="243">
        <f t="shared" si="161"/>
        <v>0</v>
      </c>
      <c r="CH44" s="243">
        <f t="shared" si="44"/>
        <v>0</v>
      </c>
      <c r="CI44" s="243">
        <f t="shared" si="162"/>
        <v>0</v>
      </c>
      <c r="CJ44" s="243">
        <f t="shared" si="46"/>
        <v>0</v>
      </c>
      <c r="CK44" s="243">
        <f t="shared" si="163"/>
        <v>0</v>
      </c>
      <c r="CL44" s="243">
        <f t="shared" si="48"/>
        <v>0</v>
      </c>
      <c r="CM44" s="243">
        <f t="shared" si="164"/>
        <v>0</v>
      </c>
      <c r="CN44" s="243">
        <f t="shared" si="50"/>
        <v>0</v>
      </c>
      <c r="CO44" s="243">
        <f t="shared" si="165"/>
        <v>0</v>
      </c>
      <c r="CP44" s="243">
        <f t="shared" si="52"/>
        <v>0</v>
      </c>
      <c r="CQ44" s="243">
        <f t="shared" si="166"/>
        <v>0</v>
      </c>
      <c r="CR44" s="238">
        <f t="shared" si="167"/>
        <v>0.24</v>
      </c>
      <c r="CS44" s="246">
        <f t="shared" si="168"/>
        <v>1.6590460568186628E-2</v>
      </c>
      <c r="CT44" s="188">
        <f t="shared" si="92"/>
        <v>0.43605392900434159</v>
      </c>
      <c r="CU44" s="206">
        <f t="shared" si="169"/>
        <v>7.9360539290043413</v>
      </c>
      <c r="CV44" s="227">
        <f t="shared" si="170"/>
        <v>0.94505406176605344</v>
      </c>
      <c r="CW44">
        <f t="shared" si="171"/>
        <v>89.2</v>
      </c>
      <c r="CX44">
        <f t="shared" si="172"/>
        <v>107.18058071551714</v>
      </c>
      <c r="DA44" s="22">
        <v>50000</v>
      </c>
      <c r="DB44" s="22">
        <f t="shared" si="93"/>
        <v>314159.26535897929</v>
      </c>
      <c r="DC44" s="253">
        <f t="shared" si="94"/>
        <v>-18.065799671722385</v>
      </c>
      <c r="DD44" s="93">
        <f t="shared" si="112"/>
        <v>174.96330841796086</v>
      </c>
      <c r="DE44" s="253">
        <f t="shared" si="113"/>
        <v>-23.963769969834114</v>
      </c>
      <c r="DF44" s="93">
        <f t="shared" si="114"/>
        <v>-139.26767588554299</v>
      </c>
      <c r="DG44" s="251">
        <f t="shared" si="115"/>
        <v>-21.613809586036858</v>
      </c>
      <c r="DH44" s="93">
        <f t="shared" si="116"/>
        <v>-94.948409901002563</v>
      </c>
      <c r="DI44" s="91">
        <f t="shared" si="100"/>
        <v>5.4247457066636597</v>
      </c>
      <c r="DJ44" s="251">
        <f t="shared" si="101"/>
        <v>117.99868179971388</v>
      </c>
      <c r="DK44" s="92">
        <f t="shared" si="173"/>
        <v>5.2541615110935611</v>
      </c>
      <c r="DL44" s="93">
        <f t="shared" si="174"/>
        <v>117.39668246891074</v>
      </c>
      <c r="DM44" s="253">
        <f t="shared" si="102"/>
        <v>-12.641053965058724</v>
      </c>
      <c r="DN44" s="262">
        <f t="shared" si="175"/>
        <v>-67.03800978232529</v>
      </c>
      <c r="DO44" s="253">
        <f t="shared" si="103"/>
        <v>-18.539024263170454</v>
      </c>
      <c r="DP44" s="259">
        <f t="shared" si="104"/>
        <v>-21.268994085829107</v>
      </c>
      <c r="DQ44" s="251">
        <f t="shared" si="105"/>
        <v>-16.189063879373197</v>
      </c>
      <c r="DR44" s="259">
        <f t="shared" si="106"/>
        <v>23.050271898711316</v>
      </c>
      <c r="DS44" s="253">
        <f t="shared" si="107"/>
        <v>-12.811638160628824</v>
      </c>
      <c r="DT44" s="261">
        <f t="shared" si="176"/>
        <v>-67.640009113128457</v>
      </c>
      <c r="DU44" s="253">
        <f t="shared" si="108"/>
        <v>-18.709608458740554</v>
      </c>
      <c r="DV44" s="93">
        <f t="shared" si="109"/>
        <v>-21.870993416632245</v>
      </c>
      <c r="DW44" s="251">
        <f t="shared" si="110"/>
        <v>-16.359648074943298</v>
      </c>
      <c r="DX44" s="93">
        <f t="shared" si="111"/>
        <v>22.448272567908177</v>
      </c>
    </row>
    <row r="45" spans="1:128" ht="15.75" thickBot="1" x14ac:dyDescent="0.3">
      <c r="A45" s="12" t="s">
        <v>390</v>
      </c>
      <c r="B45" s="190">
        <f>IF(AND(Vout3&lt;&gt;0,Iout3&lt;&gt;0,Vout3_Ripple&lt;&gt;0),(Iout3*B7)/(Fsw*Vout3_Ripple*(10^-3)),0)</f>
        <v>0</v>
      </c>
      <c r="C45" s="12" t="s">
        <v>343</v>
      </c>
      <c r="D45" s="115"/>
      <c r="E45" s="115"/>
      <c r="F45" s="115"/>
      <c r="G45" s="115"/>
      <c r="H45" s="115"/>
      <c r="I45" s="116"/>
      <c r="J45" s="115"/>
      <c r="L45" s="58">
        <v>41</v>
      </c>
      <c r="M45" s="62">
        <f t="shared" si="117"/>
        <v>50.28</v>
      </c>
      <c r="N45" s="42">
        <f t="shared" si="118"/>
        <v>6.2629623573382529E-4</v>
      </c>
      <c r="O45" s="19">
        <f t="shared" si="119"/>
        <v>5.6366661216044266E-4</v>
      </c>
      <c r="P45" s="43">
        <f t="shared" si="120"/>
        <v>5.1242419287312962E-4</v>
      </c>
      <c r="Q45" s="60">
        <f t="shared" si="121"/>
        <v>0.44795783926218707</v>
      </c>
      <c r="R45" s="63">
        <f t="shared" si="122"/>
        <v>0.14916467780429593</v>
      </c>
      <c r="S45" s="28">
        <f t="shared" si="123"/>
        <v>0.33298820721606065</v>
      </c>
      <c r="T45" s="12">
        <f t="shared" si="124"/>
        <v>0.46923583662714102</v>
      </c>
      <c r="U45" s="12">
        <f t="shared" si="64"/>
        <v>0.56760612552963119</v>
      </c>
      <c r="V45" s="55">
        <f t="shared" si="125"/>
        <v>0.51156318003078716</v>
      </c>
      <c r="W45" s="54">
        <f t="shared" si="65"/>
        <v>0.24060225092208218</v>
      </c>
      <c r="X45" s="55">
        <f t="shared" si="66"/>
        <v>0.18878385006221582</v>
      </c>
      <c r="Y45" s="54">
        <f t="shared" si="126"/>
        <v>0.72256247762321313</v>
      </c>
      <c r="Z45" s="55">
        <f t="shared" si="67"/>
        <v>0.521628732020195</v>
      </c>
      <c r="AA45" s="54">
        <f t="shared" si="127"/>
        <v>0</v>
      </c>
      <c r="AB45" s="55">
        <f t="shared" si="68"/>
        <v>0</v>
      </c>
      <c r="AC45" s="54">
        <f t="shared" si="128"/>
        <v>0</v>
      </c>
      <c r="AD45" s="55">
        <f t="shared" si="69"/>
        <v>0</v>
      </c>
      <c r="AE45" s="54">
        <f t="shared" si="129"/>
        <v>0</v>
      </c>
      <c r="AF45" s="55">
        <f t="shared" si="70"/>
        <v>0</v>
      </c>
      <c r="AG45" s="54">
        <f t="shared" si="130"/>
        <v>0</v>
      </c>
      <c r="AH45" s="55">
        <f t="shared" si="71"/>
        <v>0</v>
      </c>
      <c r="AI45" s="54">
        <f t="shared" si="131"/>
        <v>0</v>
      </c>
      <c r="AJ45" s="177">
        <f t="shared" si="73"/>
        <v>0</v>
      </c>
      <c r="AK45" s="54">
        <f t="shared" si="132"/>
        <v>0</v>
      </c>
      <c r="AL45" s="55">
        <f t="shared" si="133"/>
        <v>0</v>
      </c>
      <c r="AM45" s="179">
        <f t="shared" si="134"/>
        <v>8.1200231300392112E-2</v>
      </c>
      <c r="AN45" s="52">
        <f t="shared" si="135"/>
        <v>0</v>
      </c>
      <c r="AO45" s="74">
        <f t="shared" si="136"/>
        <v>0</v>
      </c>
      <c r="AP45" s="78">
        <v>0</v>
      </c>
      <c r="AQ45" s="87">
        <f t="shared" si="137"/>
        <v>0</v>
      </c>
      <c r="AR45" s="46">
        <f t="shared" si="138"/>
        <v>277.79274574752418</v>
      </c>
      <c r="AS45" s="69">
        <f t="shared" si="139"/>
        <v>0.20834455931064316</v>
      </c>
      <c r="AT45" s="42">
        <f t="shared" si="140"/>
        <v>274.84598452283461</v>
      </c>
      <c r="AU45" s="79">
        <f t="shared" si="141"/>
        <v>0.20613448839212595</v>
      </c>
      <c r="AV45" s="83">
        <f t="shared" si="75"/>
        <v>2.3932225199047928E-3</v>
      </c>
      <c r="AW45" s="84">
        <f t="shared" si="76"/>
        <v>3.8333702653578251E-3</v>
      </c>
      <c r="AX45" s="42">
        <f t="shared" si="142"/>
        <v>2.639489953632148E-2</v>
      </c>
      <c r="AY45" s="43">
        <f t="shared" si="77"/>
        <v>2.8727842723729743E-2</v>
      </c>
      <c r="AZ45" s="85">
        <f t="shared" si="143"/>
        <v>0</v>
      </c>
      <c r="BA45" s="86">
        <f t="shared" si="78"/>
        <v>0</v>
      </c>
      <c r="BB45" s="85">
        <f t="shared" si="144"/>
        <v>0</v>
      </c>
      <c r="BC45" s="86">
        <f t="shared" si="79"/>
        <v>0</v>
      </c>
      <c r="BD45" s="85">
        <f t="shared" si="145"/>
        <v>0</v>
      </c>
      <c r="BE45" s="86">
        <f t="shared" si="80"/>
        <v>0</v>
      </c>
      <c r="BF45" s="85">
        <f t="shared" si="146"/>
        <v>0</v>
      </c>
      <c r="BG45" s="86">
        <f t="shared" si="81"/>
        <v>0</v>
      </c>
      <c r="BH45" s="85">
        <f t="shared" si="147"/>
        <v>0</v>
      </c>
      <c r="BI45" s="86">
        <f t="shared" si="82"/>
        <v>0</v>
      </c>
      <c r="BJ45" s="85">
        <f t="shared" si="148"/>
        <v>0</v>
      </c>
      <c r="BK45" s="207">
        <f t="shared" si="149"/>
        <v>0</v>
      </c>
      <c r="BL45" s="85">
        <f t="shared" si="83"/>
        <v>6.1349335045313841E-2</v>
      </c>
      <c r="BM45" s="176">
        <f t="shared" si="84"/>
        <v>6.1349335045313841E-2</v>
      </c>
      <c r="BN45" s="176">
        <f t="shared" si="85"/>
        <v>6.1349335045313841E-2</v>
      </c>
      <c r="BO45" s="176">
        <f t="shared" si="86"/>
        <v>0.26969389435595703</v>
      </c>
      <c r="BP45" s="86">
        <f t="shared" si="87"/>
        <v>0.26748382343743982</v>
      </c>
      <c r="BQ45" s="211">
        <f t="shared" si="88"/>
        <v>1.5575070773121591E-3</v>
      </c>
      <c r="BR45" s="237">
        <f t="shared" si="150"/>
        <v>2.5000000000000001E-3</v>
      </c>
      <c r="BS45" s="237">
        <f t="shared" si="151"/>
        <v>0</v>
      </c>
      <c r="BT45" s="237">
        <f t="shared" si="152"/>
        <v>0</v>
      </c>
      <c r="BU45" s="237">
        <f t="shared" si="153"/>
        <v>0</v>
      </c>
      <c r="BV45" s="237">
        <f t="shared" si="154"/>
        <v>0</v>
      </c>
      <c r="BW45" s="237">
        <f t="shared" si="155"/>
        <v>0</v>
      </c>
      <c r="BX45" s="212">
        <f t="shared" si="156"/>
        <v>0</v>
      </c>
      <c r="BY45" s="238">
        <f t="shared" si="89"/>
        <v>4.0575070773121594E-3</v>
      </c>
      <c r="BZ45" s="244">
        <f t="shared" si="90"/>
        <v>8.4550384196945778E-5</v>
      </c>
      <c r="CA45" s="243">
        <f t="shared" si="157"/>
        <v>7.5341911764705879E-2</v>
      </c>
      <c r="CB45" s="243">
        <f t="shared" si="158"/>
        <v>0.1008</v>
      </c>
      <c r="CC45" s="238">
        <f t="shared" si="91"/>
        <v>0.17622646214890281</v>
      </c>
      <c r="CD45" s="244">
        <f t="shared" si="159"/>
        <v>0.15</v>
      </c>
      <c r="CE45" s="243">
        <f t="shared" si="160"/>
        <v>0.09</v>
      </c>
      <c r="CF45" s="243">
        <f t="shared" si="42"/>
        <v>0</v>
      </c>
      <c r="CG45" s="243">
        <f t="shared" si="161"/>
        <v>0</v>
      </c>
      <c r="CH45" s="243">
        <f t="shared" si="44"/>
        <v>0</v>
      </c>
      <c r="CI45" s="243">
        <f t="shared" si="162"/>
        <v>0</v>
      </c>
      <c r="CJ45" s="243">
        <f t="shared" si="46"/>
        <v>0</v>
      </c>
      <c r="CK45" s="243">
        <f t="shared" si="163"/>
        <v>0</v>
      </c>
      <c r="CL45" s="243">
        <f t="shared" si="48"/>
        <v>0</v>
      </c>
      <c r="CM45" s="243">
        <f t="shared" si="164"/>
        <v>0</v>
      </c>
      <c r="CN45" s="243">
        <f t="shared" si="50"/>
        <v>0</v>
      </c>
      <c r="CO45" s="243">
        <f t="shared" si="165"/>
        <v>0</v>
      </c>
      <c r="CP45" s="243">
        <f t="shared" si="52"/>
        <v>0</v>
      </c>
      <c r="CQ45" s="243">
        <f t="shared" si="166"/>
        <v>0</v>
      </c>
      <c r="CR45" s="238">
        <f t="shared" si="167"/>
        <v>0.24</v>
      </c>
      <c r="CS45" s="246">
        <f t="shared" si="168"/>
        <v>1.595778163495061E-2</v>
      </c>
      <c r="CT45" s="188">
        <f t="shared" si="92"/>
        <v>0.43624175086116557</v>
      </c>
      <c r="CU45" s="206">
        <f t="shared" si="169"/>
        <v>7.936241750861166</v>
      </c>
      <c r="CV45" s="227">
        <f t="shared" si="170"/>
        <v>0.94503169578801838</v>
      </c>
      <c r="CW45">
        <f t="shared" si="171"/>
        <v>90.28</v>
      </c>
      <c r="CX45">
        <f t="shared" si="172"/>
        <v>108.22928170537082</v>
      </c>
      <c r="DA45" s="22">
        <v>60000</v>
      </c>
      <c r="DB45" s="22">
        <f t="shared" si="93"/>
        <v>376991.11843077518</v>
      </c>
      <c r="DC45" s="253">
        <f t="shared" si="94"/>
        <v>-18.271745890047711</v>
      </c>
      <c r="DD45" s="93">
        <f t="shared" si="112"/>
        <v>175.22282539499025</v>
      </c>
      <c r="DE45" s="253">
        <f t="shared" si="113"/>
        <v>-24.669595092219801</v>
      </c>
      <c r="DF45" s="93">
        <f t="shared" si="114"/>
        <v>-144.23070205691039</v>
      </c>
      <c r="DG45" s="251">
        <f t="shared" si="115"/>
        <v>-22.815613133859294</v>
      </c>
      <c r="DH45" s="93">
        <f t="shared" si="116"/>
        <v>-98.375396734988485</v>
      </c>
      <c r="DI45" s="91">
        <f t="shared" si="100"/>
        <v>4.1455367423425056</v>
      </c>
      <c r="DJ45" s="251">
        <f t="shared" si="101"/>
        <v>113.90137308896391</v>
      </c>
      <c r="DK45" s="92">
        <f t="shared" si="173"/>
        <v>3.9626911495080925</v>
      </c>
      <c r="DL45" s="93">
        <f t="shared" si="174"/>
        <v>113.36420041075044</v>
      </c>
      <c r="DM45" s="253">
        <f t="shared" si="102"/>
        <v>-14.126209147705206</v>
      </c>
      <c r="DN45" s="262">
        <f t="shared" si="175"/>
        <v>-70.875801516045883</v>
      </c>
      <c r="DO45" s="253">
        <f t="shared" si="103"/>
        <v>-20.524058349877293</v>
      </c>
      <c r="DP45" s="259">
        <f t="shared" si="104"/>
        <v>-30.329328967946481</v>
      </c>
      <c r="DQ45" s="251">
        <f t="shared" si="105"/>
        <v>-18.670076391516787</v>
      </c>
      <c r="DR45" s="259">
        <f t="shared" si="106"/>
        <v>15.525976353975423</v>
      </c>
      <c r="DS45" s="253">
        <f t="shared" si="107"/>
        <v>-14.309054740539619</v>
      </c>
      <c r="DT45" s="261">
        <f t="shared" si="176"/>
        <v>-71.412974194259419</v>
      </c>
      <c r="DU45" s="253">
        <f t="shared" si="108"/>
        <v>-20.706903942711708</v>
      </c>
      <c r="DV45" s="93">
        <f t="shared" si="109"/>
        <v>-30.866501646159946</v>
      </c>
      <c r="DW45" s="251">
        <f t="shared" si="110"/>
        <v>-18.852921984351202</v>
      </c>
      <c r="DX45" s="93">
        <f t="shared" si="111"/>
        <v>14.988803675761957</v>
      </c>
    </row>
    <row r="46" spans="1:128" ht="15.75" thickBot="1" x14ac:dyDescent="0.3">
      <c r="A46" s="12" t="s">
        <v>391</v>
      </c>
      <c r="B46" s="190">
        <f>COUT3_FlyB_CCM</f>
        <v>0</v>
      </c>
      <c r="C46" s="12" t="s">
        <v>343</v>
      </c>
      <c r="D46" s="115"/>
      <c r="E46" s="115"/>
      <c r="F46" s="115"/>
      <c r="G46" s="115"/>
      <c r="H46" s="115"/>
      <c r="I46" s="116"/>
      <c r="J46" s="115"/>
      <c r="L46" s="58">
        <v>42</v>
      </c>
      <c r="M46" s="62">
        <f t="shared" si="117"/>
        <v>51.36</v>
      </c>
      <c r="N46" s="42">
        <f t="shared" si="118"/>
        <v>6.3826408179012311E-4</v>
      </c>
      <c r="O46" s="19">
        <f t="shared" si="119"/>
        <v>5.7443767361111092E-4</v>
      </c>
      <c r="P46" s="43">
        <f t="shared" si="120"/>
        <v>5.2221606691919169E-4</v>
      </c>
      <c r="Q46" s="60">
        <f t="shared" si="121"/>
        <v>0.44270833333333331</v>
      </c>
      <c r="R46" s="63">
        <f t="shared" si="122"/>
        <v>0.14602803738317757</v>
      </c>
      <c r="S46" s="28">
        <f t="shared" si="123"/>
        <v>0.32985156679494232</v>
      </c>
      <c r="T46" s="12">
        <f t="shared" si="124"/>
        <v>0.47369791666666666</v>
      </c>
      <c r="U46" s="12">
        <f t="shared" si="64"/>
        <v>0.56670052512827562</v>
      </c>
      <c r="V46" s="55">
        <f t="shared" si="125"/>
        <v>0.50795407307445706</v>
      </c>
      <c r="W46" s="54">
        <f t="shared" si="65"/>
        <v>0.23758333983784805</v>
      </c>
      <c r="X46" s="55">
        <f t="shared" si="66"/>
        <v>0.18740772573862499</v>
      </c>
      <c r="Y46" s="54">
        <f t="shared" si="126"/>
        <v>0.72098862196429059</v>
      </c>
      <c r="Z46" s="55">
        <f t="shared" si="67"/>
        <v>0.5194464293860982</v>
      </c>
      <c r="AA46" s="54">
        <f t="shared" si="127"/>
        <v>0</v>
      </c>
      <c r="AB46" s="55">
        <f t="shared" si="68"/>
        <v>0</v>
      </c>
      <c r="AC46" s="54">
        <f t="shared" si="128"/>
        <v>0</v>
      </c>
      <c r="AD46" s="55">
        <f t="shared" si="69"/>
        <v>0</v>
      </c>
      <c r="AE46" s="54">
        <f t="shared" si="129"/>
        <v>0</v>
      </c>
      <c r="AF46" s="55">
        <f t="shared" si="70"/>
        <v>0</v>
      </c>
      <c r="AG46" s="54">
        <f t="shared" si="130"/>
        <v>0</v>
      </c>
      <c r="AH46" s="55">
        <f t="shared" si="71"/>
        <v>0</v>
      </c>
      <c r="AI46" s="54">
        <f t="shared" si="131"/>
        <v>0</v>
      </c>
      <c r="AJ46" s="177">
        <f t="shared" si="73"/>
        <v>0</v>
      </c>
      <c r="AK46" s="54">
        <f t="shared" si="132"/>
        <v>0</v>
      </c>
      <c r="AL46" s="55">
        <f t="shared" si="133"/>
        <v>0</v>
      </c>
      <c r="AM46" s="179">
        <f t="shared" si="134"/>
        <v>8.1972384454538888E-2</v>
      </c>
      <c r="AN46" s="52">
        <f t="shared" si="135"/>
        <v>0</v>
      </c>
      <c r="AO46" s="74">
        <f t="shared" si="136"/>
        <v>0</v>
      </c>
      <c r="AP46" s="78">
        <v>0</v>
      </c>
      <c r="AQ46" s="87">
        <f t="shared" si="137"/>
        <v>0</v>
      </c>
      <c r="AR46" s="46">
        <f t="shared" si="138"/>
        <v>284.87497725211819</v>
      </c>
      <c r="AS46" s="69">
        <f t="shared" si="139"/>
        <v>0.21365623293908861</v>
      </c>
      <c r="AT46" s="42">
        <f t="shared" si="140"/>
        <v>281.32008440411198</v>
      </c>
      <c r="AU46" s="79">
        <f t="shared" si="141"/>
        <v>0.21099006330308398</v>
      </c>
      <c r="AV46" s="83">
        <f t="shared" si="75"/>
        <v>2.2936312058749967E-3</v>
      </c>
      <c r="AW46" s="84">
        <f t="shared" si="76"/>
        <v>3.7776878802865299E-3</v>
      </c>
      <c r="AX46" s="42">
        <f t="shared" si="142"/>
        <v>2.639489953632148E-2</v>
      </c>
      <c r="AY46" s="43">
        <f t="shared" si="77"/>
        <v>2.8487972098862974E-2</v>
      </c>
      <c r="AZ46" s="85">
        <f t="shared" si="143"/>
        <v>0</v>
      </c>
      <c r="BA46" s="86">
        <f t="shared" si="78"/>
        <v>0</v>
      </c>
      <c r="BB46" s="85">
        <f t="shared" si="144"/>
        <v>0</v>
      </c>
      <c r="BC46" s="86">
        <f t="shared" si="79"/>
        <v>0</v>
      </c>
      <c r="BD46" s="85">
        <f t="shared" si="145"/>
        <v>0</v>
      </c>
      <c r="BE46" s="86">
        <f t="shared" si="80"/>
        <v>0</v>
      </c>
      <c r="BF46" s="85">
        <f t="shared" si="146"/>
        <v>0</v>
      </c>
      <c r="BG46" s="86">
        <f t="shared" si="81"/>
        <v>0</v>
      </c>
      <c r="BH46" s="85">
        <f t="shared" si="147"/>
        <v>0</v>
      </c>
      <c r="BI46" s="86">
        <f t="shared" si="82"/>
        <v>0</v>
      </c>
      <c r="BJ46" s="85">
        <f t="shared" si="148"/>
        <v>0</v>
      </c>
      <c r="BK46" s="207">
        <f t="shared" si="149"/>
        <v>0</v>
      </c>
      <c r="BL46" s="85">
        <f t="shared" si="83"/>
        <v>6.0954190721345981E-2</v>
      </c>
      <c r="BM46" s="176">
        <f t="shared" si="84"/>
        <v>6.0954190721345981E-2</v>
      </c>
      <c r="BN46" s="176">
        <f t="shared" si="85"/>
        <v>6.0954190721345981E-2</v>
      </c>
      <c r="BO46" s="176">
        <f t="shared" si="86"/>
        <v>0.27461042366043459</v>
      </c>
      <c r="BP46" s="86">
        <f t="shared" si="87"/>
        <v>0.27194425402442995</v>
      </c>
      <c r="BQ46" s="211">
        <f t="shared" si="88"/>
        <v>1.4926931391387895E-3</v>
      </c>
      <c r="BR46" s="237">
        <f t="shared" si="150"/>
        <v>2.5000000000000001E-3</v>
      </c>
      <c r="BS46" s="237">
        <f t="shared" si="151"/>
        <v>0</v>
      </c>
      <c r="BT46" s="237">
        <f t="shared" si="152"/>
        <v>0</v>
      </c>
      <c r="BU46" s="237">
        <f t="shared" si="153"/>
        <v>0</v>
      </c>
      <c r="BV46" s="237">
        <f t="shared" si="154"/>
        <v>0</v>
      </c>
      <c r="BW46" s="237">
        <f t="shared" si="155"/>
        <v>0</v>
      </c>
      <c r="BX46" s="212">
        <f t="shared" si="156"/>
        <v>0</v>
      </c>
      <c r="BY46" s="238">
        <f t="shared" si="89"/>
        <v>3.9926931391387893E-3</v>
      </c>
      <c r="BZ46" s="244">
        <f t="shared" si="90"/>
        <v>8.1031913267534287E-5</v>
      </c>
      <c r="CA46" s="243">
        <f t="shared" si="157"/>
        <v>7.6235294117647082E-2</v>
      </c>
      <c r="CB46" s="243">
        <f t="shared" si="158"/>
        <v>0.1008</v>
      </c>
      <c r="CC46" s="238">
        <f t="shared" si="91"/>
        <v>0.17711632603091462</v>
      </c>
      <c r="CD46" s="244">
        <f t="shared" si="159"/>
        <v>0.15</v>
      </c>
      <c r="CE46" s="243">
        <f t="shared" si="160"/>
        <v>0.09</v>
      </c>
      <c r="CF46" s="243">
        <f t="shared" si="42"/>
        <v>0</v>
      </c>
      <c r="CG46" s="243">
        <f t="shared" si="161"/>
        <v>0</v>
      </c>
      <c r="CH46" s="243">
        <f t="shared" si="44"/>
        <v>0</v>
      </c>
      <c r="CI46" s="243">
        <f t="shared" si="162"/>
        <v>0</v>
      </c>
      <c r="CJ46" s="243">
        <f t="shared" si="46"/>
        <v>0</v>
      </c>
      <c r="CK46" s="243">
        <f t="shared" si="163"/>
        <v>0</v>
      </c>
      <c r="CL46" s="243">
        <f t="shared" si="48"/>
        <v>0</v>
      </c>
      <c r="CM46" s="243">
        <f t="shared" si="164"/>
        <v>0</v>
      </c>
      <c r="CN46" s="243">
        <f t="shared" si="50"/>
        <v>0</v>
      </c>
      <c r="CO46" s="243">
        <f t="shared" si="165"/>
        <v>0</v>
      </c>
      <c r="CP46" s="243">
        <f t="shared" si="52"/>
        <v>0</v>
      </c>
      <c r="CQ46" s="243">
        <f t="shared" si="166"/>
        <v>0</v>
      </c>
      <c r="CR46" s="238">
        <f t="shared" si="167"/>
        <v>0.24</v>
      </c>
      <c r="CS46" s="246">
        <f t="shared" si="168"/>
        <v>1.5312652806363141E-2</v>
      </c>
      <c r="CT46" s="188">
        <f t="shared" si="92"/>
        <v>0.43642167197641651</v>
      </c>
      <c r="CU46" s="206">
        <f t="shared" si="169"/>
        <v>7.9364216719764169</v>
      </c>
      <c r="CV46" s="227">
        <f t="shared" si="170"/>
        <v>0.94501027162941376</v>
      </c>
      <c r="CW46">
        <f t="shared" si="171"/>
        <v>91.36</v>
      </c>
      <c r="CX46">
        <f t="shared" si="172"/>
        <v>109.28064410618835</v>
      </c>
      <c r="DA46" s="22">
        <v>70000</v>
      </c>
      <c r="DB46" s="22">
        <f t="shared" si="93"/>
        <v>439822.97150257102</v>
      </c>
      <c r="DC46" s="253">
        <f t="shared" si="94"/>
        <v>-18.410654089699346</v>
      </c>
      <c r="DD46" s="93">
        <f t="shared" si="112"/>
        <v>175.56748080395113</v>
      </c>
      <c r="DE46" s="253">
        <f t="shared" si="113"/>
        <v>-25.154065011829093</v>
      </c>
      <c r="DF46" s="93">
        <f t="shared" si="114"/>
        <v>-148.23402463376044</v>
      </c>
      <c r="DG46" s="251">
        <f t="shared" si="115"/>
        <v>-23.82026683875867</v>
      </c>
      <c r="DH46" s="93">
        <f t="shared" si="116"/>
        <v>-101.78673448164959</v>
      </c>
      <c r="DI46" s="91">
        <f t="shared" si="100"/>
        <v>3.0010282408947129</v>
      </c>
      <c r="DJ46" s="251">
        <f t="shared" si="101"/>
        <v>110.80229815730556</v>
      </c>
      <c r="DK46" s="92">
        <f t="shared" si="173"/>
        <v>2.8099090964167845</v>
      </c>
      <c r="DL46" s="93">
        <f t="shared" si="174"/>
        <v>110.32132828712881</v>
      </c>
      <c r="DM46" s="253">
        <f t="shared" si="102"/>
        <v>-15.409625848804634</v>
      </c>
      <c r="DN46" s="262">
        <f t="shared" si="175"/>
        <v>-73.63022103874323</v>
      </c>
      <c r="DO46" s="253">
        <f t="shared" si="103"/>
        <v>-22.153036770934381</v>
      </c>
      <c r="DP46" s="259">
        <f t="shared" si="104"/>
        <v>-37.431726476454884</v>
      </c>
      <c r="DQ46" s="251">
        <f t="shared" si="105"/>
        <v>-20.819238597863958</v>
      </c>
      <c r="DR46" s="259">
        <f t="shared" si="106"/>
        <v>9.0155636756559687</v>
      </c>
      <c r="DS46" s="253">
        <f t="shared" si="107"/>
        <v>-15.600744993282561</v>
      </c>
      <c r="DT46" s="261">
        <f t="shared" si="176"/>
        <v>-74.111190908920037</v>
      </c>
      <c r="DU46" s="253">
        <f t="shared" si="108"/>
        <v>-22.344155915412308</v>
      </c>
      <c r="DV46" s="93">
        <f t="shared" si="109"/>
        <v>-37.912696346631634</v>
      </c>
      <c r="DW46" s="251">
        <f t="shared" si="110"/>
        <v>-21.010357742341885</v>
      </c>
      <c r="DX46" s="93">
        <f t="shared" si="111"/>
        <v>8.5345938054792185</v>
      </c>
    </row>
    <row r="47" spans="1:128" ht="15.75" thickBot="1" x14ac:dyDescent="0.3">
      <c r="A47" s="12" t="s">
        <v>392</v>
      </c>
      <c r="B47" s="190">
        <f>IF(AND(Vout4&lt;&gt;0,Iout4&lt;&gt;0,Vout4_Ripple&lt;&gt;0),(Iout4*B7)/(Fsw*Vout4_Ripple*(10^-3)),0)</f>
        <v>0</v>
      </c>
      <c r="C47" s="12" t="s">
        <v>343</v>
      </c>
      <c r="D47" s="115"/>
      <c r="E47" s="115"/>
      <c r="F47" s="115"/>
      <c r="G47" s="115"/>
      <c r="H47" s="115"/>
      <c r="I47" s="116"/>
      <c r="J47" s="115"/>
      <c r="L47" s="58">
        <v>43</v>
      </c>
      <c r="M47" s="62">
        <f t="shared" si="117"/>
        <v>52.440000000000005</v>
      </c>
      <c r="N47" s="42">
        <f t="shared" si="118"/>
        <v>6.5006404161101715E-4</v>
      </c>
      <c r="O47" s="19">
        <f t="shared" si="119"/>
        <v>5.8505763744991549E-4</v>
      </c>
      <c r="P47" s="43">
        <f t="shared" si="120"/>
        <v>5.3187057949992313E-4</v>
      </c>
      <c r="Q47" s="60">
        <f t="shared" si="121"/>
        <v>0.43758043758043758</v>
      </c>
      <c r="R47" s="63">
        <f t="shared" si="122"/>
        <v>0.14302059496567504</v>
      </c>
      <c r="S47" s="28">
        <f t="shared" si="123"/>
        <v>0.32684412437743976</v>
      </c>
      <c r="T47" s="12">
        <f t="shared" si="124"/>
        <v>0.47805662805662813</v>
      </c>
      <c r="U47" s="12">
        <f t="shared" si="64"/>
        <v>0.56587243840575385</v>
      </c>
      <c r="V47" s="55">
        <f t="shared" si="125"/>
        <v>0.50451189436371457</v>
      </c>
      <c r="W47" s="54">
        <f t="shared" si="65"/>
        <v>0.23468935366717208</v>
      </c>
      <c r="X47" s="55">
        <f t="shared" si="66"/>
        <v>0.1860757967613717</v>
      </c>
      <c r="Y47" s="54">
        <f t="shared" si="126"/>
        <v>0.71952677519077979</v>
      </c>
      <c r="Z47" s="55">
        <f t="shared" si="67"/>
        <v>0.51741548122997139</v>
      </c>
      <c r="AA47" s="54">
        <f t="shared" si="127"/>
        <v>0</v>
      </c>
      <c r="AB47" s="55">
        <f t="shared" si="68"/>
        <v>0</v>
      </c>
      <c r="AC47" s="54">
        <f t="shared" si="128"/>
        <v>0</v>
      </c>
      <c r="AD47" s="55">
        <f t="shared" si="69"/>
        <v>0</v>
      </c>
      <c r="AE47" s="54">
        <f t="shared" si="129"/>
        <v>0</v>
      </c>
      <c r="AF47" s="55">
        <f t="shared" si="70"/>
        <v>0</v>
      </c>
      <c r="AG47" s="54">
        <f t="shared" si="130"/>
        <v>0</v>
      </c>
      <c r="AH47" s="55">
        <f t="shared" si="71"/>
        <v>0</v>
      </c>
      <c r="AI47" s="54">
        <f t="shared" si="131"/>
        <v>0</v>
      </c>
      <c r="AJ47" s="177">
        <f t="shared" si="73"/>
        <v>0</v>
      </c>
      <c r="AK47" s="54">
        <f t="shared" si="132"/>
        <v>0</v>
      </c>
      <c r="AL47" s="55">
        <f t="shared" si="133"/>
        <v>0</v>
      </c>
      <c r="AM47" s="179">
        <f t="shared" si="134"/>
        <v>8.2726649890828993E-2</v>
      </c>
      <c r="AN47" s="52">
        <f t="shared" si="135"/>
        <v>0</v>
      </c>
      <c r="AO47" s="74">
        <f t="shared" si="136"/>
        <v>0</v>
      </c>
      <c r="AP47" s="78">
        <v>0</v>
      </c>
      <c r="AQ47" s="87">
        <f t="shared" si="137"/>
        <v>0</v>
      </c>
      <c r="AR47" s="46">
        <f t="shared" si="138"/>
        <v>291.90090102522777</v>
      </c>
      <c r="AS47" s="69">
        <f t="shared" si="139"/>
        <v>0.21892567576892083</v>
      </c>
      <c r="AT47" s="42">
        <f t="shared" si="140"/>
        <v>287.73076291809372</v>
      </c>
      <c r="AU47" s="79">
        <f t="shared" si="141"/>
        <v>0.21579807218857031</v>
      </c>
      <c r="AV47" s="83">
        <f t="shared" si="75"/>
        <v>2.2001295436275279E-3</v>
      </c>
      <c r="AW47" s="84">
        <f t="shared" si="76"/>
        <v>3.7241817422341427E-3</v>
      </c>
      <c r="AX47" s="42">
        <f t="shared" si="142"/>
        <v>2.639489953632148E-2</v>
      </c>
      <c r="AY47" s="43">
        <f t="shared" si="77"/>
        <v>2.8265641231198159E-2</v>
      </c>
      <c r="AZ47" s="85">
        <f t="shared" si="143"/>
        <v>0</v>
      </c>
      <c r="BA47" s="86">
        <f t="shared" si="78"/>
        <v>0</v>
      </c>
      <c r="BB47" s="85">
        <f t="shared" si="144"/>
        <v>0</v>
      </c>
      <c r="BC47" s="86">
        <f t="shared" si="79"/>
        <v>0</v>
      </c>
      <c r="BD47" s="85">
        <f t="shared" si="145"/>
        <v>0</v>
      </c>
      <c r="BE47" s="86">
        <f t="shared" si="80"/>
        <v>0</v>
      </c>
      <c r="BF47" s="85">
        <f t="shared" si="146"/>
        <v>0</v>
      </c>
      <c r="BG47" s="86">
        <f t="shared" si="81"/>
        <v>0</v>
      </c>
      <c r="BH47" s="85">
        <f t="shared" si="147"/>
        <v>0</v>
      </c>
      <c r="BI47" s="86">
        <f t="shared" si="82"/>
        <v>0</v>
      </c>
      <c r="BJ47" s="85">
        <f t="shared" si="148"/>
        <v>0</v>
      </c>
      <c r="BK47" s="207">
        <f t="shared" si="149"/>
        <v>0</v>
      </c>
      <c r="BL47" s="85">
        <f t="shared" si="83"/>
        <v>6.0584852053381308E-2</v>
      </c>
      <c r="BM47" s="176">
        <f t="shared" si="84"/>
        <v>6.0584852053381308E-2</v>
      </c>
      <c r="BN47" s="176">
        <f t="shared" si="85"/>
        <v>6.0584852053381308E-2</v>
      </c>
      <c r="BO47" s="176">
        <f t="shared" si="86"/>
        <v>0.27951052782230212</v>
      </c>
      <c r="BP47" s="86">
        <f t="shared" si="87"/>
        <v>0.2763829242419516</v>
      </c>
      <c r="BQ47" s="211">
        <f t="shared" si="88"/>
        <v>1.4318423409034973E-3</v>
      </c>
      <c r="BR47" s="237">
        <f t="shared" si="150"/>
        <v>2.5000000000000001E-3</v>
      </c>
      <c r="BS47" s="237">
        <f t="shared" si="151"/>
        <v>0</v>
      </c>
      <c r="BT47" s="237">
        <f t="shared" si="152"/>
        <v>0</v>
      </c>
      <c r="BU47" s="237">
        <f t="shared" si="153"/>
        <v>0</v>
      </c>
      <c r="BV47" s="237">
        <f t="shared" si="154"/>
        <v>0</v>
      </c>
      <c r="BW47" s="237">
        <f t="shared" si="155"/>
        <v>0</v>
      </c>
      <c r="BX47" s="212">
        <f t="shared" si="156"/>
        <v>0</v>
      </c>
      <c r="BY47" s="238">
        <f t="shared" si="89"/>
        <v>3.9318423409034978E-3</v>
      </c>
      <c r="BZ47" s="244">
        <f t="shared" si="90"/>
        <v>7.7728584220475557E-5</v>
      </c>
      <c r="CA47" s="243">
        <f t="shared" si="157"/>
        <v>7.7128676470588242E-2</v>
      </c>
      <c r="CB47" s="243">
        <f t="shared" si="158"/>
        <v>0.1008</v>
      </c>
      <c r="CC47" s="238">
        <f t="shared" si="91"/>
        <v>0.17800640505480872</v>
      </c>
      <c r="CD47" s="244">
        <f t="shared" si="159"/>
        <v>0.15</v>
      </c>
      <c r="CE47" s="243">
        <f t="shared" si="160"/>
        <v>0.09</v>
      </c>
      <c r="CF47" s="243">
        <f t="shared" si="42"/>
        <v>0</v>
      </c>
      <c r="CG47" s="243">
        <f t="shared" si="161"/>
        <v>0</v>
      </c>
      <c r="CH47" s="243">
        <f t="shared" si="44"/>
        <v>0</v>
      </c>
      <c r="CI47" s="243">
        <f t="shared" si="162"/>
        <v>0</v>
      </c>
      <c r="CJ47" s="243">
        <f t="shared" si="46"/>
        <v>0</v>
      </c>
      <c r="CK47" s="243">
        <f t="shared" si="163"/>
        <v>0</v>
      </c>
      <c r="CL47" s="243">
        <f t="shared" si="48"/>
        <v>0</v>
      </c>
      <c r="CM47" s="243">
        <f t="shared" si="164"/>
        <v>0</v>
      </c>
      <c r="CN47" s="243">
        <f t="shared" si="50"/>
        <v>0</v>
      </c>
      <c r="CO47" s="243">
        <f t="shared" si="165"/>
        <v>0</v>
      </c>
      <c r="CP47" s="243">
        <f t="shared" si="52"/>
        <v>0</v>
      </c>
      <c r="CQ47" s="243">
        <f t="shared" si="166"/>
        <v>0</v>
      </c>
      <c r="CR47" s="238">
        <f t="shared" si="167"/>
        <v>0.24</v>
      </c>
      <c r="CS47" s="246">
        <f t="shared" si="168"/>
        <v>1.4653186205446816E-2</v>
      </c>
      <c r="CT47" s="188">
        <f t="shared" si="92"/>
        <v>0.43659143360115898</v>
      </c>
      <c r="CU47" s="206">
        <f t="shared" si="169"/>
        <v>7.9365914336011594</v>
      </c>
      <c r="CV47" s="227">
        <f t="shared" si="170"/>
        <v>0.94499005810570502</v>
      </c>
      <c r="CW47">
        <f t="shared" si="171"/>
        <v>92.44</v>
      </c>
      <c r="CX47">
        <f t="shared" si="172"/>
        <v>110.33445770475522</v>
      </c>
      <c r="DA47" s="22">
        <v>80000</v>
      </c>
      <c r="DB47" s="22">
        <f t="shared" si="93"/>
        <v>502654.82457436691</v>
      </c>
      <c r="DC47" s="253">
        <f t="shared" si="94"/>
        <v>-18.50772071738583</v>
      </c>
      <c r="DD47" s="93">
        <f t="shared" si="112"/>
        <v>175.91402984791677</v>
      </c>
      <c r="DE47" s="253">
        <f t="shared" si="113"/>
        <v>-25.497999862048587</v>
      </c>
      <c r="DF47" s="93">
        <f t="shared" si="114"/>
        <v>-151.50302138481641</v>
      </c>
      <c r="DG47" s="251">
        <f t="shared" si="115"/>
        <v>-24.676965867267949</v>
      </c>
      <c r="DH47" s="93">
        <f t="shared" si="116"/>
        <v>-105.08961217413042</v>
      </c>
      <c r="DI47" s="91">
        <f t="shared" si="100"/>
        <v>1.9722039368705913</v>
      </c>
      <c r="DJ47" s="251">
        <f t="shared" si="101"/>
        <v>108.38944674598999</v>
      </c>
      <c r="DK47" s="92">
        <f t="shared" si="173"/>
        <v>1.7753064413827486</v>
      </c>
      <c r="DL47" s="93">
        <f t="shared" si="174"/>
        <v>107.95604815086024</v>
      </c>
      <c r="DM47" s="253">
        <f t="shared" si="102"/>
        <v>-16.535516780515238</v>
      </c>
      <c r="DN47" s="262">
        <f t="shared" si="175"/>
        <v>-75.69652340609322</v>
      </c>
      <c r="DO47" s="253">
        <f t="shared" si="103"/>
        <v>-23.525795925177995</v>
      </c>
      <c r="DP47" s="259">
        <f t="shared" si="104"/>
        <v>-43.113574638826421</v>
      </c>
      <c r="DQ47" s="251">
        <f t="shared" si="105"/>
        <v>-22.704761930397357</v>
      </c>
      <c r="DR47" s="259">
        <f t="shared" si="106"/>
        <v>3.299834571859563</v>
      </c>
      <c r="DS47" s="253">
        <f t="shared" si="107"/>
        <v>-16.73241427600308</v>
      </c>
      <c r="DT47" s="261">
        <f t="shared" si="176"/>
        <v>-76.129922001222994</v>
      </c>
      <c r="DU47" s="253">
        <f t="shared" si="108"/>
        <v>-23.722693420665838</v>
      </c>
      <c r="DV47" s="93">
        <f t="shared" si="109"/>
        <v>-43.546973233956166</v>
      </c>
      <c r="DW47" s="251">
        <f t="shared" si="110"/>
        <v>-22.9016594258852</v>
      </c>
      <c r="DX47" s="93">
        <f t="shared" si="111"/>
        <v>2.866435976729818</v>
      </c>
    </row>
    <row r="48" spans="1:128" ht="15.75" thickBot="1" x14ac:dyDescent="0.3">
      <c r="A48" s="12" t="s">
        <v>393</v>
      </c>
      <c r="B48" s="190">
        <f>COUT4_FlyB_CCM</f>
        <v>0</v>
      </c>
      <c r="C48" s="12" t="s">
        <v>343</v>
      </c>
      <c r="D48" s="115"/>
      <c r="E48" s="115"/>
      <c r="F48" s="115"/>
      <c r="G48" s="115"/>
      <c r="H48" s="115"/>
      <c r="I48" s="116"/>
      <c r="J48" s="115"/>
      <c r="L48" s="58">
        <v>44</v>
      </c>
      <c r="M48" s="62">
        <f t="shared" si="117"/>
        <v>53.52</v>
      </c>
      <c r="N48" s="42">
        <f t="shared" si="118"/>
        <v>6.616981686151705E-4</v>
      </c>
      <c r="O48" s="19">
        <f t="shared" si="119"/>
        <v>5.9552835175365334E-4</v>
      </c>
      <c r="P48" s="43">
        <f t="shared" si="120"/>
        <v>5.4138941068513941E-4</v>
      </c>
      <c r="Q48" s="60">
        <f t="shared" si="121"/>
        <v>0.43256997455470736</v>
      </c>
      <c r="R48" s="63">
        <f t="shared" si="122"/>
        <v>0.14013452914798205</v>
      </c>
      <c r="S48" s="28">
        <f t="shared" si="123"/>
        <v>0.32395805855974674</v>
      </c>
      <c r="T48" s="12">
        <f t="shared" si="124"/>
        <v>0.48231552162849883</v>
      </c>
      <c r="U48" s="12">
        <f t="shared" si="64"/>
        <v>0.56511581937399613</v>
      </c>
      <c r="V48" s="55">
        <f t="shared" si="125"/>
        <v>0.50122610966251246</v>
      </c>
      <c r="W48" s="54">
        <f t="shared" si="65"/>
        <v>0.23191243346506871</v>
      </c>
      <c r="X48" s="55">
        <f t="shared" si="66"/>
        <v>0.18478552577559554</v>
      </c>
      <c r="Y48" s="54">
        <f t="shared" si="126"/>
        <v>0.71816980319318335</v>
      </c>
      <c r="Z48" s="55">
        <f t="shared" si="67"/>
        <v>0.51552678516109696</v>
      </c>
      <c r="AA48" s="54">
        <f t="shared" si="127"/>
        <v>0</v>
      </c>
      <c r="AB48" s="55">
        <f t="shared" si="68"/>
        <v>0</v>
      </c>
      <c r="AC48" s="54">
        <f t="shared" si="128"/>
        <v>0</v>
      </c>
      <c r="AD48" s="55">
        <f t="shared" si="69"/>
        <v>0</v>
      </c>
      <c r="AE48" s="54">
        <f t="shared" si="129"/>
        <v>0</v>
      </c>
      <c r="AF48" s="55">
        <f t="shared" si="70"/>
        <v>0</v>
      </c>
      <c r="AG48" s="54">
        <f t="shared" si="130"/>
        <v>0</v>
      </c>
      <c r="AH48" s="55">
        <f t="shared" si="71"/>
        <v>0</v>
      </c>
      <c r="AI48" s="54">
        <f t="shared" si="131"/>
        <v>0</v>
      </c>
      <c r="AJ48" s="177">
        <f t="shared" si="73"/>
        <v>0</v>
      </c>
      <c r="AK48" s="54">
        <f t="shared" si="132"/>
        <v>0</v>
      </c>
      <c r="AL48" s="55">
        <f t="shared" si="133"/>
        <v>0</v>
      </c>
      <c r="AM48" s="179">
        <f t="shared" si="134"/>
        <v>8.3463642072852909E-2</v>
      </c>
      <c r="AN48" s="52">
        <f t="shared" si="135"/>
        <v>0</v>
      </c>
      <c r="AO48" s="74">
        <f t="shared" si="136"/>
        <v>0</v>
      </c>
      <c r="AP48" s="78">
        <v>0</v>
      </c>
      <c r="AQ48" s="87">
        <f t="shared" si="137"/>
        <v>0</v>
      </c>
      <c r="AR48" s="46">
        <f t="shared" si="138"/>
        <v>298.86941598288098</v>
      </c>
      <c r="AS48" s="69">
        <f t="shared" si="139"/>
        <v>0.22415206198716073</v>
      </c>
      <c r="AT48" s="42">
        <f t="shared" si="140"/>
        <v>294.07760834732346</v>
      </c>
      <c r="AU48" s="79">
        <f t="shared" si="141"/>
        <v>0.22055820626049261</v>
      </c>
      <c r="AV48" s="83">
        <f t="shared" si="75"/>
        <v>2.1122309860293056E-3</v>
      </c>
      <c r="AW48" s="84">
        <f t="shared" si="76"/>
        <v>3.6727129987048812E-3</v>
      </c>
      <c r="AX48" s="42">
        <f t="shared" si="142"/>
        <v>2.639489953632148E-2</v>
      </c>
      <c r="AY48" s="43">
        <f t="shared" si="77"/>
        <v>2.805966451528312E-2</v>
      </c>
      <c r="AZ48" s="85">
        <f t="shared" si="143"/>
        <v>0</v>
      </c>
      <c r="BA48" s="86">
        <f t="shared" si="78"/>
        <v>0</v>
      </c>
      <c r="BB48" s="85">
        <f t="shared" si="144"/>
        <v>0</v>
      </c>
      <c r="BC48" s="86">
        <f t="shared" si="79"/>
        <v>0</v>
      </c>
      <c r="BD48" s="85">
        <f t="shared" si="145"/>
        <v>0</v>
      </c>
      <c r="BE48" s="86">
        <f t="shared" si="80"/>
        <v>0</v>
      </c>
      <c r="BF48" s="85">
        <f t="shared" si="146"/>
        <v>0</v>
      </c>
      <c r="BG48" s="86">
        <f t="shared" si="81"/>
        <v>0</v>
      </c>
      <c r="BH48" s="85">
        <f t="shared" si="147"/>
        <v>0</v>
      </c>
      <c r="BI48" s="86">
        <f t="shared" si="82"/>
        <v>0</v>
      </c>
      <c r="BJ48" s="85">
        <f t="shared" si="148"/>
        <v>0</v>
      </c>
      <c r="BK48" s="207">
        <f t="shared" si="149"/>
        <v>0</v>
      </c>
      <c r="BL48" s="85">
        <f t="shared" si="83"/>
        <v>6.023950803633879E-2</v>
      </c>
      <c r="BM48" s="176">
        <f t="shared" si="84"/>
        <v>6.023950803633879E-2</v>
      </c>
      <c r="BN48" s="176">
        <f t="shared" si="85"/>
        <v>6.023950803633879E-2</v>
      </c>
      <c r="BO48" s="176">
        <f t="shared" si="86"/>
        <v>0.28439157002349952</v>
      </c>
      <c r="BP48" s="86">
        <f t="shared" si="87"/>
        <v>0.28079771429683142</v>
      </c>
      <c r="BQ48" s="211">
        <f t="shared" si="88"/>
        <v>1.3746380381668643E-3</v>
      </c>
      <c r="BR48" s="237">
        <f t="shared" si="150"/>
        <v>2.5000000000000001E-3</v>
      </c>
      <c r="BS48" s="237">
        <f t="shared" si="151"/>
        <v>0</v>
      </c>
      <c r="BT48" s="237">
        <f t="shared" si="152"/>
        <v>0</v>
      </c>
      <c r="BU48" s="237">
        <f t="shared" si="153"/>
        <v>0</v>
      </c>
      <c r="BV48" s="237">
        <f t="shared" si="154"/>
        <v>0</v>
      </c>
      <c r="BW48" s="237">
        <f t="shared" si="155"/>
        <v>0</v>
      </c>
      <c r="BX48" s="212">
        <f t="shared" si="156"/>
        <v>0</v>
      </c>
      <c r="BY48" s="238">
        <f t="shared" si="89"/>
        <v>3.8746380381668643E-3</v>
      </c>
      <c r="BZ48" s="244">
        <f t="shared" si="90"/>
        <v>7.4623207786201202E-5</v>
      </c>
      <c r="CA48" s="243">
        <f t="shared" si="157"/>
        <v>7.8022058823529417E-2</v>
      </c>
      <c r="CB48" s="243">
        <f t="shared" si="158"/>
        <v>0.1008</v>
      </c>
      <c r="CC48" s="238">
        <f t="shared" si="91"/>
        <v>0.17889668203131562</v>
      </c>
      <c r="CD48" s="244">
        <f t="shared" si="159"/>
        <v>0.15</v>
      </c>
      <c r="CE48" s="243">
        <f t="shared" si="160"/>
        <v>0.09</v>
      </c>
      <c r="CF48" s="243">
        <f t="shared" si="42"/>
        <v>0</v>
      </c>
      <c r="CG48" s="243">
        <f t="shared" si="161"/>
        <v>0</v>
      </c>
      <c r="CH48" s="243">
        <f t="shared" si="44"/>
        <v>0</v>
      </c>
      <c r="CI48" s="243">
        <f t="shared" si="162"/>
        <v>0</v>
      </c>
      <c r="CJ48" s="243">
        <f t="shared" si="46"/>
        <v>0</v>
      </c>
      <c r="CK48" s="243">
        <f t="shared" si="163"/>
        <v>0</v>
      </c>
      <c r="CL48" s="243">
        <f t="shared" si="48"/>
        <v>0</v>
      </c>
      <c r="CM48" s="243">
        <f t="shared" si="164"/>
        <v>0</v>
      </c>
      <c r="CN48" s="243">
        <f t="shared" si="50"/>
        <v>0</v>
      </c>
      <c r="CO48" s="243">
        <f t="shared" si="165"/>
        <v>0</v>
      </c>
      <c r="CP48" s="243">
        <f t="shared" si="52"/>
        <v>0</v>
      </c>
      <c r="CQ48" s="243">
        <f t="shared" si="166"/>
        <v>0</v>
      </c>
      <c r="CR48" s="238">
        <f t="shared" si="167"/>
        <v>0.24</v>
      </c>
      <c r="CS48" s="246">
        <f t="shared" si="168"/>
        <v>1.3977474475323454E-2</v>
      </c>
      <c r="CT48" s="188">
        <f t="shared" si="92"/>
        <v>0.43674879454480592</v>
      </c>
      <c r="CU48" s="206">
        <f t="shared" si="169"/>
        <v>7.9367487945448056</v>
      </c>
      <c r="CV48" s="227">
        <f t="shared" si="170"/>
        <v>0.94497132190387612</v>
      </c>
      <c r="CW48">
        <f t="shared" si="171"/>
        <v>93.52000000000001</v>
      </c>
      <c r="CX48">
        <f t="shared" si="172"/>
        <v>111.39053131014138</v>
      </c>
      <c r="DA48" s="22">
        <v>90000</v>
      </c>
      <c r="DB48" s="22">
        <f t="shared" si="93"/>
        <v>565486.6776461628</v>
      </c>
      <c r="DC48" s="253">
        <f t="shared" si="94"/>
        <v>-18.577750671676526</v>
      </c>
      <c r="DD48" s="93">
        <f t="shared" si="112"/>
        <v>176.23452606315587</v>
      </c>
      <c r="DE48" s="253">
        <f t="shared" si="113"/>
        <v>-25.74943448922226</v>
      </c>
      <c r="DF48" s="93">
        <f t="shared" si="114"/>
        <v>-154.20651486922935</v>
      </c>
      <c r="DG48" s="251">
        <f t="shared" si="115"/>
        <v>-25.416439784212056</v>
      </c>
      <c r="DH48" s="93">
        <f t="shared" si="116"/>
        <v>-108.24411414653061</v>
      </c>
      <c r="DI48" s="91">
        <f t="shared" si="100"/>
        <v>1.0413163389939035</v>
      </c>
      <c r="DJ48" s="251">
        <f t="shared" si="101"/>
        <v>106.46400350936894</v>
      </c>
      <c r="DK48" s="92">
        <f t="shared" si="173"/>
        <v>0.84025309424753414</v>
      </c>
      <c r="DL48" s="93">
        <f t="shared" si="174"/>
        <v>106.07071799394335</v>
      </c>
      <c r="DM48" s="253">
        <f t="shared" si="102"/>
        <v>-17.536434332682621</v>
      </c>
      <c r="DN48" s="262">
        <f t="shared" si="175"/>
        <v>-77.301470427475181</v>
      </c>
      <c r="DO48" s="253">
        <f t="shared" si="103"/>
        <v>-24.708118150228355</v>
      </c>
      <c r="DP48" s="259">
        <f t="shared" si="104"/>
        <v>-47.742511359860416</v>
      </c>
      <c r="DQ48" s="251">
        <f t="shared" si="105"/>
        <v>-24.375123445218151</v>
      </c>
      <c r="DR48" s="259">
        <f t="shared" si="106"/>
        <v>-1.7801106371616697</v>
      </c>
      <c r="DS48" s="253">
        <f t="shared" si="107"/>
        <v>-17.737497577428993</v>
      </c>
      <c r="DT48" s="261">
        <f t="shared" si="176"/>
        <v>-77.694755942900841</v>
      </c>
      <c r="DU48" s="253">
        <f t="shared" si="108"/>
        <v>-24.909181394974727</v>
      </c>
      <c r="DV48" s="93">
        <f t="shared" si="109"/>
        <v>-48.135796875286005</v>
      </c>
      <c r="DW48" s="251">
        <f t="shared" si="110"/>
        <v>-24.576186689964523</v>
      </c>
      <c r="DX48" s="93">
        <f t="shared" si="111"/>
        <v>-2.1733961525872587</v>
      </c>
    </row>
    <row r="49" spans="1:128" ht="15.75" thickBot="1" x14ac:dyDescent="0.3">
      <c r="A49" s="12" t="s">
        <v>394</v>
      </c>
      <c r="B49" s="190">
        <f>IF(AND(Vout5&lt;&gt;0,Iout5&lt;&gt;0,Vout5_Ripple&lt;&gt;0),(Iout5*B7)/(Fsw*Vout5_Ripple*(10^-3)),0)</f>
        <v>0</v>
      </c>
      <c r="C49" s="12" t="s">
        <v>343</v>
      </c>
      <c r="D49" s="115"/>
      <c r="E49" s="115"/>
      <c r="F49" s="115"/>
      <c r="G49" s="115"/>
      <c r="H49" s="115"/>
      <c r="I49" s="115"/>
      <c r="J49" s="115"/>
      <c r="L49" s="58">
        <v>45</v>
      </c>
      <c r="M49" s="62">
        <f t="shared" si="117"/>
        <v>54.6</v>
      </c>
      <c r="N49" s="42">
        <f t="shared" si="118"/>
        <v>6.7316858949848131E-4</v>
      </c>
      <c r="O49" s="19">
        <f t="shared" si="119"/>
        <v>6.0585173054863322E-4</v>
      </c>
      <c r="P49" s="43">
        <f t="shared" si="120"/>
        <v>5.5077430049875746E-4</v>
      </c>
      <c r="Q49" s="60">
        <f t="shared" si="121"/>
        <v>0.42767295597484273</v>
      </c>
      <c r="R49" s="63">
        <f t="shared" si="122"/>
        <v>0.13736263736263735</v>
      </c>
      <c r="S49" s="28">
        <f t="shared" si="123"/>
        <v>0.32118616677440209</v>
      </c>
      <c r="T49" s="12">
        <f t="shared" si="124"/>
        <v>0.48647798742138365</v>
      </c>
      <c r="U49" s="12">
        <f t="shared" si="64"/>
        <v>0.56442516048509395</v>
      </c>
      <c r="V49" s="55">
        <f t="shared" si="125"/>
        <v>0.49808701380425502</v>
      </c>
      <c r="W49" s="54">
        <f t="shared" si="65"/>
        <v>0.22924535348258393</v>
      </c>
      <c r="X49" s="55">
        <f t="shared" si="66"/>
        <v>0.18353456881507485</v>
      </c>
      <c r="Y49" s="54">
        <f t="shared" si="126"/>
        <v>0.71691109419112287</v>
      </c>
      <c r="Z49" s="55">
        <f t="shared" si="67"/>
        <v>0.51377185303820705</v>
      </c>
      <c r="AA49" s="54">
        <f t="shared" si="127"/>
        <v>0</v>
      </c>
      <c r="AB49" s="55">
        <f t="shared" si="68"/>
        <v>0</v>
      </c>
      <c r="AC49" s="54">
        <f t="shared" si="128"/>
        <v>0</v>
      </c>
      <c r="AD49" s="55">
        <f t="shared" si="69"/>
        <v>0</v>
      </c>
      <c r="AE49" s="54">
        <f t="shared" si="129"/>
        <v>0</v>
      </c>
      <c r="AF49" s="55">
        <f t="shared" si="70"/>
        <v>0</v>
      </c>
      <c r="AG49" s="54">
        <f t="shared" si="130"/>
        <v>0</v>
      </c>
      <c r="AH49" s="55">
        <f t="shared" si="71"/>
        <v>0</v>
      </c>
      <c r="AI49" s="54">
        <f t="shared" si="131"/>
        <v>0</v>
      </c>
      <c r="AJ49" s="177">
        <f t="shared" si="73"/>
        <v>0</v>
      </c>
      <c r="AK49" s="54">
        <f t="shared" si="132"/>
        <v>0</v>
      </c>
      <c r="AL49" s="55">
        <f t="shared" si="133"/>
        <v>0</v>
      </c>
      <c r="AM49" s="179">
        <f t="shared" si="134"/>
        <v>8.418394763943475E-2</v>
      </c>
      <c r="AN49" s="52">
        <f t="shared" si="135"/>
        <v>0</v>
      </c>
      <c r="AO49" s="74">
        <f t="shared" si="136"/>
        <v>0</v>
      </c>
      <c r="AP49" s="78">
        <v>0</v>
      </c>
      <c r="AQ49" s="87">
        <f t="shared" si="137"/>
        <v>0</v>
      </c>
      <c r="AR49" s="46">
        <f t="shared" si="138"/>
        <v>305.77957739259671</v>
      </c>
      <c r="AS49" s="69">
        <f t="shared" si="139"/>
        <v>0.22933468304444754</v>
      </c>
      <c r="AT49" s="42">
        <f t="shared" si="140"/>
        <v>300.36032655717418</v>
      </c>
      <c r="AU49" s="79">
        <f t="shared" si="141"/>
        <v>0.22527024491788064</v>
      </c>
      <c r="AV49" s="83">
        <f t="shared" si="75"/>
        <v>2.0294966251274259E-3</v>
      </c>
      <c r="AW49" s="84">
        <f t="shared" si="76"/>
        <v>3.6231544164849927E-3</v>
      </c>
      <c r="AX49" s="42">
        <f t="shared" si="142"/>
        <v>2.639489953632148E-2</v>
      </c>
      <c r="AY49" s="43">
        <f t="shared" si="77"/>
        <v>2.7868950887968036E-2</v>
      </c>
      <c r="AZ49" s="85">
        <f t="shared" si="143"/>
        <v>0</v>
      </c>
      <c r="BA49" s="86">
        <f t="shared" si="78"/>
        <v>0</v>
      </c>
      <c r="BB49" s="85">
        <f t="shared" si="144"/>
        <v>0</v>
      </c>
      <c r="BC49" s="86">
        <f t="shared" si="79"/>
        <v>0</v>
      </c>
      <c r="BD49" s="85">
        <f t="shared" si="145"/>
        <v>0</v>
      </c>
      <c r="BE49" s="86">
        <f t="shared" si="80"/>
        <v>0</v>
      </c>
      <c r="BF49" s="85">
        <f t="shared" si="146"/>
        <v>0</v>
      </c>
      <c r="BG49" s="86">
        <f t="shared" si="81"/>
        <v>0</v>
      </c>
      <c r="BH49" s="85">
        <f t="shared" si="147"/>
        <v>0</v>
      </c>
      <c r="BI49" s="86">
        <f t="shared" si="82"/>
        <v>0</v>
      </c>
      <c r="BJ49" s="85">
        <f t="shared" si="148"/>
        <v>0</v>
      </c>
      <c r="BK49" s="207">
        <f t="shared" si="149"/>
        <v>0</v>
      </c>
      <c r="BL49" s="85">
        <f t="shared" si="83"/>
        <v>5.9916501465901932E-2</v>
      </c>
      <c r="BM49" s="176">
        <f t="shared" si="84"/>
        <v>5.9916501465901932E-2</v>
      </c>
      <c r="BN49" s="176">
        <f t="shared" si="85"/>
        <v>5.9916501465901932E-2</v>
      </c>
      <c r="BO49" s="176">
        <f t="shared" si="86"/>
        <v>0.28925118451034948</v>
      </c>
      <c r="BP49" s="86">
        <f t="shared" si="87"/>
        <v>0.28518674638378255</v>
      </c>
      <c r="BQ49" s="211">
        <f t="shared" si="88"/>
        <v>1.3207945900253592E-3</v>
      </c>
      <c r="BR49" s="237">
        <f t="shared" si="150"/>
        <v>2.5000000000000001E-3</v>
      </c>
      <c r="BS49" s="237">
        <f t="shared" si="151"/>
        <v>0</v>
      </c>
      <c r="BT49" s="237">
        <f t="shared" si="152"/>
        <v>0</v>
      </c>
      <c r="BU49" s="237">
        <f t="shared" si="153"/>
        <v>0</v>
      </c>
      <c r="BV49" s="237">
        <f t="shared" si="154"/>
        <v>0</v>
      </c>
      <c r="BW49" s="237">
        <f t="shared" si="155"/>
        <v>0</v>
      </c>
      <c r="BX49" s="212">
        <f t="shared" si="156"/>
        <v>0</v>
      </c>
      <c r="BY49" s="238">
        <f t="shared" si="89"/>
        <v>3.8207945900253591E-3</v>
      </c>
      <c r="BZ49" s="244">
        <f t="shared" si="90"/>
        <v>7.1700277744233775E-5</v>
      </c>
      <c r="CA49" s="243">
        <f t="shared" si="157"/>
        <v>7.8915441176470605E-2</v>
      </c>
      <c r="CB49" s="243">
        <f t="shared" si="158"/>
        <v>0.1008</v>
      </c>
      <c r="CC49" s="238">
        <f t="shared" si="91"/>
        <v>0.17978714145421484</v>
      </c>
      <c r="CD49" s="244">
        <f t="shared" si="159"/>
        <v>0.15</v>
      </c>
      <c r="CE49" s="243">
        <f t="shared" si="160"/>
        <v>0.09</v>
      </c>
      <c r="CF49" s="243">
        <f t="shared" si="42"/>
        <v>0</v>
      </c>
      <c r="CG49" s="243">
        <f t="shared" si="161"/>
        <v>0</v>
      </c>
      <c r="CH49" s="243">
        <f t="shared" si="44"/>
        <v>0</v>
      </c>
      <c r="CI49" s="243">
        <f t="shared" si="162"/>
        <v>0</v>
      </c>
      <c r="CJ49" s="243">
        <f t="shared" si="46"/>
        <v>0</v>
      </c>
      <c r="CK49" s="243">
        <f t="shared" si="163"/>
        <v>0</v>
      </c>
      <c r="CL49" s="243">
        <f t="shared" si="48"/>
        <v>0</v>
      </c>
      <c r="CM49" s="243">
        <f t="shared" si="164"/>
        <v>0</v>
      </c>
      <c r="CN49" s="243">
        <f t="shared" si="50"/>
        <v>0</v>
      </c>
      <c r="CO49" s="243">
        <f t="shared" si="165"/>
        <v>0</v>
      </c>
      <c r="CP49" s="243">
        <f t="shared" si="52"/>
        <v>0</v>
      </c>
      <c r="CQ49" s="243">
        <f t="shared" si="166"/>
        <v>0</v>
      </c>
      <c r="CR49" s="238">
        <f t="shared" si="167"/>
        <v>0.24</v>
      </c>
      <c r="CS49" s="246">
        <f t="shared" si="168"/>
        <v>1.3283574182883061E-2</v>
      </c>
      <c r="CT49" s="188">
        <f t="shared" si="92"/>
        <v>0.43689151022712325</v>
      </c>
      <c r="CU49" s="206">
        <f t="shared" si="169"/>
        <v>7.9368915102271229</v>
      </c>
      <c r="CV49" s="227">
        <f t="shared" si="170"/>
        <v>0.9449543300844967</v>
      </c>
      <c r="CW49">
        <f t="shared" si="171"/>
        <v>94.6</v>
      </c>
      <c r="CX49">
        <f t="shared" si="172"/>
        <v>112.44869075838965</v>
      </c>
      <c r="DA49" s="22">
        <v>100000</v>
      </c>
      <c r="DB49" s="22">
        <f t="shared" si="93"/>
        <v>628318.53071795858</v>
      </c>
      <c r="DC49" s="253">
        <f t="shared" si="94"/>
        <v>-18.62970893580048</v>
      </c>
      <c r="DD49" s="93">
        <f t="shared" si="112"/>
        <v>176.52173061809148</v>
      </c>
      <c r="DE49" s="253">
        <f t="shared" si="113"/>
        <v>-25.937999970049617</v>
      </c>
      <c r="DF49" s="93">
        <f t="shared" si="114"/>
        <v>-156.47002074423699</v>
      </c>
      <c r="DG49" s="251">
        <f t="shared" si="115"/>
        <v>-26.05996915368457</v>
      </c>
      <c r="DH49" s="93">
        <f t="shared" si="116"/>
        <v>-111.2360062723526</v>
      </c>
      <c r="DI49" s="91">
        <f t="shared" si="100"/>
        <v>0.19331093768699889</v>
      </c>
      <c r="DJ49" s="251">
        <f t="shared" si="101"/>
        <v>104.89515413977563</v>
      </c>
      <c r="DK49" s="92">
        <f t="shared" si="173"/>
        <v>-1.0840793871186713E-2</v>
      </c>
      <c r="DL49" s="93">
        <f t="shared" si="174"/>
        <v>104.53583083598507</v>
      </c>
      <c r="DM49" s="253">
        <f t="shared" si="102"/>
        <v>-18.436397998113481</v>
      </c>
      <c r="DN49" s="262">
        <f t="shared" si="175"/>
        <v>-78.583115242132877</v>
      </c>
      <c r="DO49" s="253">
        <f t="shared" si="103"/>
        <v>-25.744689032362619</v>
      </c>
      <c r="DP49" s="259">
        <f t="shared" si="104"/>
        <v>-51.574866604461363</v>
      </c>
      <c r="DQ49" s="251">
        <f t="shared" si="105"/>
        <v>-25.866658215997571</v>
      </c>
      <c r="DR49" s="259">
        <f t="shared" si="106"/>
        <v>-6.3408521325769698</v>
      </c>
      <c r="DS49" s="253">
        <f t="shared" si="107"/>
        <v>-18.640549729671665</v>
      </c>
      <c r="DT49" s="261">
        <f t="shared" si="176"/>
        <v>-78.942438545923451</v>
      </c>
      <c r="DU49" s="253">
        <f t="shared" si="108"/>
        <v>-25.948840763920803</v>
      </c>
      <c r="DV49" s="93">
        <f t="shared" si="109"/>
        <v>-51.934189908251923</v>
      </c>
      <c r="DW49" s="251">
        <f t="shared" si="110"/>
        <v>-26.070809947555755</v>
      </c>
      <c r="DX49" s="93">
        <f t="shared" si="111"/>
        <v>-6.7001754363675303</v>
      </c>
    </row>
    <row r="50" spans="1:128" ht="15.75" thickBot="1" x14ac:dyDescent="0.3">
      <c r="A50" s="12" t="s">
        <v>395</v>
      </c>
      <c r="B50" s="190">
        <f>COUT5_FlyB_CCM</f>
        <v>0</v>
      </c>
      <c r="C50" s="12" t="s">
        <v>343</v>
      </c>
      <c r="D50" s="115"/>
      <c r="E50" s="115"/>
      <c r="F50" s="115"/>
      <c r="G50" s="115"/>
      <c r="H50" s="115"/>
      <c r="I50" s="115"/>
      <c r="J50" s="115"/>
      <c r="L50" s="58">
        <v>46</v>
      </c>
      <c r="M50" s="62">
        <f t="shared" si="117"/>
        <v>55.680000000000007</v>
      </c>
      <c r="N50" s="42">
        <f t="shared" si="118"/>
        <v>6.8447749093119258E-4</v>
      </c>
      <c r="O50" s="19">
        <f t="shared" si="119"/>
        <v>6.1602974183807332E-4</v>
      </c>
      <c r="P50" s="43">
        <f t="shared" si="120"/>
        <v>5.6002703803461197E-4</v>
      </c>
      <c r="Q50" s="60">
        <f t="shared" si="121"/>
        <v>0.42288557213930345</v>
      </c>
      <c r="R50" s="63">
        <f t="shared" si="122"/>
        <v>0.13469827586206895</v>
      </c>
      <c r="S50" s="28">
        <f t="shared" si="123"/>
        <v>0.31852180527383367</v>
      </c>
      <c r="T50" s="12">
        <f t="shared" si="124"/>
        <v>0.49054726368159213</v>
      </c>
      <c r="U50" s="12">
        <f t="shared" si="64"/>
        <v>0.56379543711462976</v>
      </c>
      <c r="V50" s="55">
        <f t="shared" si="125"/>
        <v>0.49508565219825423</v>
      </c>
      <c r="W50" s="54">
        <f t="shared" si="65"/>
        <v>0.22668145964821462</v>
      </c>
      <c r="X50" s="55">
        <f t="shared" si="66"/>
        <v>0.18232075753471169</v>
      </c>
      <c r="Y50" s="54">
        <f t="shared" si="126"/>
        <v>0.71574451346677226</v>
      </c>
      <c r="Z50" s="55">
        <f t="shared" si="67"/>
        <v>0.51214276189143448</v>
      </c>
      <c r="AA50" s="54">
        <f t="shared" si="127"/>
        <v>0</v>
      </c>
      <c r="AB50" s="55">
        <f t="shared" si="68"/>
        <v>0</v>
      </c>
      <c r="AC50" s="54">
        <f t="shared" si="128"/>
        <v>0</v>
      </c>
      <c r="AD50" s="55">
        <f t="shared" si="69"/>
        <v>0</v>
      </c>
      <c r="AE50" s="54">
        <f t="shared" si="129"/>
        <v>0</v>
      </c>
      <c r="AF50" s="55">
        <f t="shared" si="70"/>
        <v>0</v>
      </c>
      <c r="AG50" s="54">
        <f t="shared" si="130"/>
        <v>0</v>
      </c>
      <c r="AH50" s="55">
        <f t="shared" si="71"/>
        <v>0</v>
      </c>
      <c r="AI50" s="54">
        <f t="shared" si="131"/>
        <v>0</v>
      </c>
      <c r="AJ50" s="177">
        <f t="shared" si="73"/>
        <v>0</v>
      </c>
      <c r="AK50" s="54">
        <f t="shared" si="132"/>
        <v>0</v>
      </c>
      <c r="AL50" s="55">
        <f t="shared" si="133"/>
        <v>0</v>
      </c>
      <c r="AM50" s="179">
        <f t="shared" si="134"/>
        <v>8.4888126961988664E-2</v>
      </c>
      <c r="AN50" s="52">
        <f t="shared" si="135"/>
        <v>0</v>
      </c>
      <c r="AO50" s="74">
        <f t="shared" si="136"/>
        <v>0</v>
      </c>
      <c r="AP50" s="78">
        <v>0</v>
      </c>
      <c r="AQ50" s="87">
        <f t="shared" si="137"/>
        <v>0</v>
      </c>
      <c r="AR50" s="46">
        <f t="shared" si="138"/>
        <v>312.63058395345161</v>
      </c>
      <c r="AS50" s="69">
        <f t="shared" si="139"/>
        <v>0.2344729379650887</v>
      </c>
      <c r="AT50" s="42">
        <f t="shared" si="140"/>
        <v>306.57872997628863</v>
      </c>
      <c r="AU50" s="79">
        <f t="shared" si="141"/>
        <v>0.22993404748221646</v>
      </c>
      <c r="AV50" s="83">
        <f t="shared" si="75"/>
        <v>1.9515297024422439E-3</v>
      </c>
      <c r="AW50" s="84">
        <f t="shared" si="76"/>
        <v>3.5753892117654919E-3</v>
      </c>
      <c r="AX50" s="42">
        <f t="shared" si="142"/>
        <v>2.639489953632148E-2</v>
      </c>
      <c r="AY50" s="43">
        <f t="shared" si="77"/>
        <v>2.769249481697434E-2</v>
      </c>
      <c r="AZ50" s="85">
        <f t="shared" si="143"/>
        <v>0</v>
      </c>
      <c r="BA50" s="86">
        <f t="shared" si="78"/>
        <v>0</v>
      </c>
      <c r="BB50" s="85">
        <f t="shared" si="144"/>
        <v>0</v>
      </c>
      <c r="BC50" s="86">
        <f t="shared" si="79"/>
        <v>0</v>
      </c>
      <c r="BD50" s="85">
        <f t="shared" si="145"/>
        <v>0</v>
      </c>
      <c r="BE50" s="86">
        <f t="shared" si="80"/>
        <v>0</v>
      </c>
      <c r="BF50" s="85">
        <f t="shared" si="146"/>
        <v>0</v>
      </c>
      <c r="BG50" s="86">
        <f t="shared" si="81"/>
        <v>0</v>
      </c>
      <c r="BH50" s="85">
        <f t="shared" si="147"/>
        <v>0</v>
      </c>
      <c r="BI50" s="86">
        <f t="shared" si="82"/>
        <v>0</v>
      </c>
      <c r="BJ50" s="85">
        <f t="shared" si="148"/>
        <v>0</v>
      </c>
      <c r="BK50" s="207">
        <f t="shared" si="149"/>
        <v>0</v>
      </c>
      <c r="BL50" s="85">
        <f t="shared" si="83"/>
        <v>5.9614313267503556E-2</v>
      </c>
      <c r="BM50" s="176">
        <f t="shared" si="84"/>
        <v>5.9614313267503556E-2</v>
      </c>
      <c r="BN50" s="176">
        <f t="shared" si="85"/>
        <v>5.9614313267503556E-2</v>
      </c>
      <c r="BO50" s="176">
        <f t="shared" si="86"/>
        <v>0.29408725123259227</v>
      </c>
      <c r="BP50" s="86">
        <f t="shared" si="87"/>
        <v>0.28954836074972001</v>
      </c>
      <c r="BQ50" s="211">
        <f t="shared" si="88"/>
        <v>1.2700537864149821E-3</v>
      </c>
      <c r="BR50" s="237">
        <f t="shared" si="150"/>
        <v>2.5000000000000001E-3</v>
      </c>
      <c r="BS50" s="237">
        <f t="shared" si="151"/>
        <v>0</v>
      </c>
      <c r="BT50" s="237">
        <f t="shared" si="152"/>
        <v>0</v>
      </c>
      <c r="BU50" s="237">
        <f t="shared" si="153"/>
        <v>0</v>
      </c>
      <c r="BV50" s="237">
        <f t="shared" si="154"/>
        <v>0</v>
      </c>
      <c r="BW50" s="237">
        <f t="shared" si="155"/>
        <v>0</v>
      </c>
      <c r="BX50" s="212">
        <f t="shared" si="156"/>
        <v>0</v>
      </c>
      <c r="BY50" s="238">
        <f t="shared" si="89"/>
        <v>3.7700537864149824E-3</v>
      </c>
      <c r="BZ50" s="244">
        <f t="shared" si="90"/>
        <v>6.8945776976813303E-5</v>
      </c>
      <c r="CA50" s="243">
        <f t="shared" si="157"/>
        <v>7.9808823529411793E-2</v>
      </c>
      <c r="CB50" s="243">
        <f t="shared" si="158"/>
        <v>0.1008</v>
      </c>
      <c r="CC50" s="238">
        <f t="shared" si="91"/>
        <v>0.18067776930638862</v>
      </c>
      <c r="CD50" s="244">
        <f t="shared" si="159"/>
        <v>0.15</v>
      </c>
      <c r="CE50" s="243">
        <f t="shared" si="160"/>
        <v>0.09</v>
      </c>
      <c r="CF50" s="243">
        <f t="shared" si="42"/>
        <v>0</v>
      </c>
      <c r="CG50" s="243">
        <f t="shared" si="161"/>
        <v>0</v>
      </c>
      <c r="CH50" s="243">
        <f t="shared" si="44"/>
        <v>0</v>
      </c>
      <c r="CI50" s="243">
        <f t="shared" si="162"/>
        <v>0</v>
      </c>
      <c r="CJ50" s="243">
        <f t="shared" si="46"/>
        <v>0</v>
      </c>
      <c r="CK50" s="243">
        <f t="shared" si="163"/>
        <v>0</v>
      </c>
      <c r="CL50" s="243">
        <f t="shared" si="48"/>
        <v>0</v>
      </c>
      <c r="CM50" s="243">
        <f t="shared" si="164"/>
        <v>0</v>
      </c>
      <c r="CN50" s="243">
        <f t="shared" si="50"/>
        <v>0</v>
      </c>
      <c r="CO50" s="243">
        <f t="shared" si="165"/>
        <v>0</v>
      </c>
      <c r="CP50" s="243">
        <f t="shared" si="52"/>
        <v>0</v>
      </c>
      <c r="CQ50" s="243">
        <f t="shared" si="166"/>
        <v>0</v>
      </c>
      <c r="CR50" s="238">
        <f t="shared" si="167"/>
        <v>0.24</v>
      </c>
      <c r="CS50" s="246">
        <f t="shared" si="168"/>
        <v>1.2569489202308937E-2</v>
      </c>
      <c r="CT50" s="188">
        <f t="shared" si="92"/>
        <v>0.43701731229511254</v>
      </c>
      <c r="CU50" s="206">
        <f t="shared" si="169"/>
        <v>7.9370173122951124</v>
      </c>
      <c r="CV50" s="227">
        <f t="shared" si="170"/>
        <v>0.9449393525174582</v>
      </c>
      <c r="CW50">
        <f t="shared" si="171"/>
        <v>95.68</v>
      </c>
      <c r="CX50">
        <f t="shared" si="172"/>
        <v>113.50877715692461</v>
      </c>
      <c r="DA50" s="22">
        <v>200000</v>
      </c>
      <c r="DB50" s="22">
        <f t="shared" si="93"/>
        <v>1256637.0614359172</v>
      </c>
      <c r="DC50" s="253">
        <f t="shared" si="94"/>
        <v>-18.807320802174768</v>
      </c>
      <c r="DD50" s="93">
        <f t="shared" si="112"/>
        <v>178.10755323225402</v>
      </c>
      <c r="DE50" s="253">
        <f t="shared" si="113"/>
        <v>-26.59778535655246</v>
      </c>
      <c r="DF50" s="93">
        <f t="shared" si="114"/>
        <v>-167.67063317375283</v>
      </c>
      <c r="DG50" s="251">
        <f t="shared" si="115"/>
        <v>-29.541132567097321</v>
      </c>
      <c r="DH50" s="93">
        <f t="shared" si="116"/>
        <v>-133.19168949523359</v>
      </c>
      <c r="DI50" s="91">
        <f t="shared" si="100"/>
        <v>-5.6053602694000881</v>
      </c>
      <c r="DJ50" s="251">
        <f t="shared" si="101"/>
        <v>97.576612742119138</v>
      </c>
      <c r="DK50" s="92">
        <f t="shared" si="173"/>
        <v>-5.8200501474725277</v>
      </c>
      <c r="DL50" s="93">
        <f t="shared" si="174"/>
        <v>97.387795847936871</v>
      </c>
      <c r="DM50" s="253">
        <f t="shared" si="102"/>
        <v>-24.412681071574855</v>
      </c>
      <c r="DN50" s="262">
        <f t="shared" si="175"/>
        <v>-84.315834025626842</v>
      </c>
      <c r="DO50" s="253">
        <f t="shared" si="103"/>
        <v>-32.203145625952551</v>
      </c>
      <c r="DP50" s="259">
        <f t="shared" si="104"/>
        <v>-70.094020431633695</v>
      </c>
      <c r="DQ50" s="251">
        <f t="shared" si="105"/>
        <v>-35.146492836497409</v>
      </c>
      <c r="DR50" s="259">
        <f t="shared" si="106"/>
        <v>-35.615076753114451</v>
      </c>
      <c r="DS50" s="253">
        <f t="shared" si="107"/>
        <v>-24.627370949647297</v>
      </c>
      <c r="DT50" s="261">
        <f t="shared" si="176"/>
        <v>-84.50465091980908</v>
      </c>
      <c r="DU50" s="253">
        <f t="shared" si="108"/>
        <v>-32.417835504024985</v>
      </c>
      <c r="DV50" s="93">
        <f t="shared" si="109"/>
        <v>-70.282837325815962</v>
      </c>
      <c r="DW50" s="251">
        <f t="shared" si="110"/>
        <v>-35.36118271456985</v>
      </c>
      <c r="DX50" s="93">
        <f t="shared" si="111"/>
        <v>-35.803893647296718</v>
      </c>
    </row>
    <row r="51" spans="1:128" ht="15.75" thickBot="1" x14ac:dyDescent="0.3">
      <c r="A51" s="12" t="s">
        <v>396</v>
      </c>
      <c r="B51" s="190">
        <f>IF(AND(Vout6&lt;&gt;0,Iout6&lt;&gt;0,Vout6_Ripple&lt;&gt;0),(Iout6*B7)/(Fsw*Vout6_Ripple*(10^-3)),0)</f>
        <v>0</v>
      </c>
      <c r="C51" s="12" t="s">
        <v>343</v>
      </c>
      <c r="D51" s="115"/>
      <c r="E51" s="115"/>
      <c r="F51" s="115"/>
      <c r="G51" s="115"/>
      <c r="H51" s="115"/>
      <c r="I51" s="115"/>
      <c r="J51" s="115"/>
      <c r="L51" s="58">
        <v>47</v>
      </c>
      <c r="M51" s="62">
        <f t="shared" si="117"/>
        <v>56.760000000000005</v>
      </c>
      <c r="N51" s="42">
        <f t="shared" si="118"/>
        <v>6.9562710774299192E-4</v>
      </c>
      <c r="O51" s="19">
        <f t="shared" si="119"/>
        <v>6.260643969686928E-4</v>
      </c>
      <c r="P51" s="43">
        <f t="shared" si="120"/>
        <v>5.6914945178972067E-4</v>
      </c>
      <c r="Q51" s="60">
        <f t="shared" si="121"/>
        <v>0.41820418204182036</v>
      </c>
      <c r="R51" s="63">
        <f t="shared" si="122"/>
        <v>0.1321353065539112</v>
      </c>
      <c r="S51" s="28">
        <f t="shared" si="123"/>
        <v>0.31595883596567592</v>
      </c>
      <c r="T51" s="12">
        <f t="shared" si="124"/>
        <v>0.49452644526445266</v>
      </c>
      <c r="U51" s="12">
        <f t="shared" si="64"/>
        <v>0.5632220585979022</v>
      </c>
      <c r="V51" s="55">
        <f t="shared" si="125"/>
        <v>0.49221375105732945</v>
      </c>
      <c r="W51" s="54">
        <f t="shared" si="65"/>
        <v>0.22421461503222187</v>
      </c>
      <c r="X51" s="55">
        <f t="shared" si="66"/>
        <v>0.18114208333778037</v>
      </c>
      <c r="Y51" s="54">
        <f t="shared" si="126"/>
        <v>0.71466436273362033</v>
      </c>
      <c r="Z51" s="55">
        <f t="shared" si="67"/>
        <v>0.51063210960676142</v>
      </c>
      <c r="AA51" s="54">
        <f t="shared" si="127"/>
        <v>0</v>
      </c>
      <c r="AB51" s="55">
        <f t="shared" si="68"/>
        <v>0</v>
      </c>
      <c r="AC51" s="54">
        <f t="shared" si="128"/>
        <v>0</v>
      </c>
      <c r="AD51" s="55">
        <f t="shared" si="69"/>
        <v>0</v>
      </c>
      <c r="AE51" s="54">
        <f t="shared" si="129"/>
        <v>0</v>
      </c>
      <c r="AF51" s="55">
        <f t="shared" si="70"/>
        <v>0</v>
      </c>
      <c r="AG51" s="54">
        <f t="shared" si="130"/>
        <v>0</v>
      </c>
      <c r="AH51" s="55">
        <f t="shared" si="71"/>
        <v>0</v>
      </c>
      <c r="AI51" s="54">
        <f t="shared" si="131"/>
        <v>0</v>
      </c>
      <c r="AJ51" s="177">
        <f t="shared" si="73"/>
        <v>0</v>
      </c>
      <c r="AK51" s="54">
        <f t="shared" si="132"/>
        <v>0</v>
      </c>
      <c r="AL51" s="55">
        <f t="shared" si="133"/>
        <v>0</v>
      </c>
      <c r="AM51" s="179">
        <f t="shared" si="134"/>
        <v>8.5576715598434369E-2</v>
      </c>
      <c r="AN51" s="52">
        <f t="shared" si="135"/>
        <v>0</v>
      </c>
      <c r="AO51" s="74">
        <f t="shared" si="136"/>
        <v>0</v>
      </c>
      <c r="AP51" s="78">
        <v>0</v>
      </c>
      <c r="AQ51" s="87">
        <f t="shared" si="137"/>
        <v>0</v>
      </c>
      <c r="AR51" s="46">
        <f t="shared" si="138"/>
        <v>319.42176588708759</v>
      </c>
      <c r="AS51" s="69">
        <f t="shared" si="139"/>
        <v>0.2395663244153157</v>
      </c>
      <c r="AT51" s="42">
        <f t="shared" si="140"/>
        <v>312.73272752471809</v>
      </c>
      <c r="AU51" s="79">
        <f t="shared" si="141"/>
        <v>0.23454954564353858</v>
      </c>
      <c r="AV51" s="83">
        <f t="shared" si="75"/>
        <v>1.8779708433730336E-3</v>
      </c>
      <c r="AW51" s="84">
        <f t="shared" si="76"/>
        <v>3.5293100165856E-3</v>
      </c>
      <c r="AX51" s="42">
        <f t="shared" si="142"/>
        <v>2.639489953632148E-2</v>
      </c>
      <c r="AY51" s="43">
        <f t="shared" si="77"/>
        <v>2.7529368299073813E-2</v>
      </c>
      <c r="AZ51" s="85">
        <f t="shared" si="143"/>
        <v>0</v>
      </c>
      <c r="BA51" s="86">
        <f t="shared" si="78"/>
        <v>0</v>
      </c>
      <c r="BB51" s="85">
        <f t="shared" si="144"/>
        <v>0</v>
      </c>
      <c r="BC51" s="86">
        <f t="shared" si="79"/>
        <v>0</v>
      </c>
      <c r="BD51" s="85">
        <f t="shared" si="145"/>
        <v>0</v>
      </c>
      <c r="BE51" s="86">
        <f t="shared" si="80"/>
        <v>0</v>
      </c>
      <c r="BF51" s="85">
        <f t="shared" si="146"/>
        <v>0</v>
      </c>
      <c r="BG51" s="86">
        <f t="shared" si="81"/>
        <v>0</v>
      </c>
      <c r="BH51" s="85">
        <f t="shared" si="147"/>
        <v>0</v>
      </c>
      <c r="BI51" s="86">
        <f t="shared" si="82"/>
        <v>0</v>
      </c>
      <c r="BJ51" s="85">
        <f t="shared" si="148"/>
        <v>0</v>
      </c>
      <c r="BK51" s="207">
        <f t="shared" si="149"/>
        <v>0</v>
      </c>
      <c r="BL51" s="85">
        <f t="shared" si="83"/>
        <v>5.9331548695353925E-2</v>
      </c>
      <c r="BM51" s="176">
        <f t="shared" si="84"/>
        <v>5.9331548695353925E-2</v>
      </c>
      <c r="BN51" s="176">
        <f t="shared" si="85"/>
        <v>5.9331548695353925E-2</v>
      </c>
      <c r="BO51" s="176">
        <f t="shared" si="86"/>
        <v>0.29889787311066962</v>
      </c>
      <c r="BP51" s="86">
        <f t="shared" si="87"/>
        <v>0.29388109433889253</v>
      </c>
      <c r="BQ51" s="211">
        <f t="shared" si="88"/>
        <v>1.2221817466667264E-3</v>
      </c>
      <c r="BR51" s="237">
        <f t="shared" si="150"/>
        <v>2.5000000000000001E-3</v>
      </c>
      <c r="BS51" s="237">
        <f t="shared" si="151"/>
        <v>0</v>
      </c>
      <c r="BT51" s="237">
        <f t="shared" si="152"/>
        <v>0</v>
      </c>
      <c r="BU51" s="237">
        <f t="shared" si="153"/>
        <v>0</v>
      </c>
      <c r="BV51" s="237">
        <f t="shared" si="154"/>
        <v>0</v>
      </c>
      <c r="BW51" s="237">
        <f t="shared" si="155"/>
        <v>0</v>
      </c>
      <c r="BX51" s="212">
        <f t="shared" si="156"/>
        <v>0</v>
      </c>
      <c r="BY51" s="238">
        <f t="shared" si="89"/>
        <v>3.7221817466667265E-3</v>
      </c>
      <c r="BZ51" s="244">
        <f t="shared" si="90"/>
        <v>6.6347009104765139E-5</v>
      </c>
      <c r="CA51" s="243">
        <f t="shared" si="157"/>
        <v>8.0702205882352968E-2</v>
      </c>
      <c r="CB51" s="243">
        <f t="shared" si="158"/>
        <v>0.1008</v>
      </c>
      <c r="CC51" s="238">
        <f t="shared" si="91"/>
        <v>0.18156855289145774</v>
      </c>
      <c r="CD51" s="244">
        <f t="shared" si="159"/>
        <v>0.15</v>
      </c>
      <c r="CE51" s="243">
        <f t="shared" si="160"/>
        <v>0.09</v>
      </c>
      <c r="CF51" s="243">
        <f t="shared" si="42"/>
        <v>0</v>
      </c>
      <c r="CG51" s="243">
        <f t="shared" si="161"/>
        <v>0</v>
      </c>
      <c r="CH51" s="243">
        <f t="shared" si="44"/>
        <v>0</v>
      </c>
      <c r="CI51" s="243">
        <f t="shared" si="162"/>
        <v>0</v>
      </c>
      <c r="CJ51" s="243">
        <f t="shared" si="46"/>
        <v>0</v>
      </c>
      <c r="CK51" s="243">
        <f t="shared" si="163"/>
        <v>0</v>
      </c>
      <c r="CL51" s="243">
        <f t="shared" si="48"/>
        <v>0</v>
      </c>
      <c r="CM51" s="243">
        <f t="shared" si="164"/>
        <v>0</v>
      </c>
      <c r="CN51" s="243">
        <f t="shared" si="50"/>
        <v>0</v>
      </c>
      <c r="CO51" s="243">
        <f t="shared" si="165"/>
        <v>0</v>
      </c>
      <c r="CP51" s="243">
        <f t="shared" si="52"/>
        <v>0</v>
      </c>
      <c r="CQ51" s="243">
        <f t="shared" si="166"/>
        <v>0</v>
      </c>
      <c r="CR51" s="238">
        <f t="shared" si="167"/>
        <v>0.24</v>
      </c>
      <c r="CS51" s="246">
        <f t="shared" si="168"/>
        <v>1.1833153782126965E-2</v>
      </c>
      <c r="CT51" s="188">
        <f t="shared" si="92"/>
        <v>0.43712388842025141</v>
      </c>
      <c r="CU51" s="206">
        <f t="shared" si="169"/>
        <v>7.9371238884202517</v>
      </c>
      <c r="CV51" s="227">
        <f t="shared" si="170"/>
        <v>0.94492666429738015</v>
      </c>
      <c r="CW51">
        <f t="shared" si="171"/>
        <v>96.76</v>
      </c>
      <c r="CX51">
        <f t="shared" si="172"/>
        <v>114.57064533618193</v>
      </c>
      <c r="DA51" s="22">
        <v>300000</v>
      </c>
      <c r="DB51" s="22">
        <f t="shared" si="93"/>
        <v>1884955.5921538759</v>
      </c>
      <c r="DC51" s="253">
        <f t="shared" si="94"/>
        <v>-18.842297312384162</v>
      </c>
      <c r="DD51" s="93">
        <f t="shared" si="112"/>
        <v>178.71816999824475</v>
      </c>
      <c r="DE51" s="253">
        <f t="shared" si="113"/>
        <v>-26.730884016865815</v>
      </c>
      <c r="DF51" s="93">
        <f t="shared" si="114"/>
        <v>-171.70301414123762</v>
      </c>
      <c r="DG51" s="251">
        <f t="shared" si="115"/>
        <v>-30.769373728227794</v>
      </c>
      <c r="DH51" s="93">
        <f t="shared" si="116"/>
        <v>-145.56406437881992</v>
      </c>
      <c r="DI51" s="91">
        <f t="shared" si="100"/>
        <v>-9.0848133022661912</v>
      </c>
      <c r="DJ51" s="251">
        <f t="shared" si="101"/>
        <v>95.067600679647697</v>
      </c>
      <c r="DK51" s="92">
        <f t="shared" si="173"/>
        <v>-9.3015741328676693</v>
      </c>
      <c r="DL51" s="93">
        <f t="shared" si="174"/>
        <v>94.940523285644872</v>
      </c>
      <c r="DM51" s="253">
        <f t="shared" si="102"/>
        <v>-27.927110614650353</v>
      </c>
      <c r="DN51" s="262">
        <f t="shared" si="175"/>
        <v>-86.214229322107542</v>
      </c>
      <c r="DO51" s="253">
        <f t="shared" si="103"/>
        <v>-35.815697319132006</v>
      </c>
      <c r="DP51" s="259">
        <f t="shared" si="104"/>
        <v>-76.63541346158992</v>
      </c>
      <c r="DQ51" s="251">
        <f t="shared" si="105"/>
        <v>-39.854187030493989</v>
      </c>
      <c r="DR51" s="259">
        <f t="shared" si="106"/>
        <v>-50.496463699172224</v>
      </c>
      <c r="DS51" s="253">
        <f t="shared" si="107"/>
        <v>-28.143871445251833</v>
      </c>
      <c r="DT51" s="261">
        <f t="shared" si="176"/>
        <v>-86.34130671611041</v>
      </c>
      <c r="DU51" s="253">
        <f t="shared" si="108"/>
        <v>-36.032458149733486</v>
      </c>
      <c r="DV51" s="93">
        <f t="shared" si="109"/>
        <v>-76.762490855592745</v>
      </c>
      <c r="DW51" s="251">
        <f t="shared" si="110"/>
        <v>-40.070947861095462</v>
      </c>
      <c r="DX51" s="93">
        <f t="shared" si="111"/>
        <v>-50.623541093175049</v>
      </c>
    </row>
    <row r="52" spans="1:128" ht="15.75" thickBot="1" x14ac:dyDescent="0.3">
      <c r="A52" s="12" t="s">
        <v>397</v>
      </c>
      <c r="B52" s="190">
        <f>COUT6_FlyB_CCM</f>
        <v>0</v>
      </c>
      <c r="C52" s="12" t="s">
        <v>343</v>
      </c>
      <c r="D52" s="115"/>
      <c r="E52" s="115"/>
      <c r="F52" s="115"/>
      <c r="G52" s="115"/>
      <c r="H52" s="115"/>
      <c r="I52" s="115"/>
      <c r="J52" s="115"/>
      <c r="L52" s="58">
        <v>48</v>
      </c>
      <c r="M52" s="62">
        <f t="shared" si="117"/>
        <v>57.84</v>
      </c>
      <c r="N52" s="42">
        <f t="shared" si="118"/>
        <v>7.0661971243625389E-4</v>
      </c>
      <c r="O52" s="19">
        <f t="shared" si="119"/>
        <v>6.3595774119262858E-4</v>
      </c>
      <c r="P52" s="43">
        <f t="shared" si="120"/>
        <v>5.7814340108420755E-4</v>
      </c>
      <c r="Q52" s="60">
        <f t="shared" si="121"/>
        <v>0.41362530413625304</v>
      </c>
      <c r="R52" s="63">
        <f t="shared" si="122"/>
        <v>0.1296680497925311</v>
      </c>
      <c r="S52" s="28">
        <f t="shared" si="123"/>
        <v>0.31349157920429582</v>
      </c>
      <c r="T52" s="12">
        <f t="shared" si="124"/>
        <v>0.49841849148418499</v>
      </c>
      <c r="U52" s="12">
        <f t="shared" si="64"/>
        <v>0.56270082494638829</v>
      </c>
      <c r="V52" s="55">
        <f t="shared" si="125"/>
        <v>0.48946365523286117</v>
      </c>
      <c r="W52" s="54">
        <f t="shared" si="65"/>
        <v>0.22183915138783597</v>
      </c>
      <c r="X52" s="55">
        <f t="shared" si="66"/>
        <v>0.1799966831679875</v>
      </c>
      <c r="Y52" s="54">
        <f t="shared" si="126"/>
        <v>0.71366534358673395</v>
      </c>
      <c r="Z52" s="55">
        <f t="shared" si="67"/>
        <v>0.50923297481287588</v>
      </c>
      <c r="AA52" s="54">
        <f t="shared" si="127"/>
        <v>0</v>
      </c>
      <c r="AB52" s="55">
        <f t="shared" si="68"/>
        <v>0</v>
      </c>
      <c r="AC52" s="54">
        <f t="shared" si="128"/>
        <v>0</v>
      </c>
      <c r="AD52" s="55">
        <f t="shared" si="69"/>
        <v>0</v>
      </c>
      <c r="AE52" s="54">
        <f t="shared" si="129"/>
        <v>0</v>
      </c>
      <c r="AF52" s="55">
        <f t="shared" si="70"/>
        <v>0</v>
      </c>
      <c r="AG52" s="54">
        <f t="shared" si="130"/>
        <v>0</v>
      </c>
      <c r="AH52" s="55">
        <f t="shared" si="71"/>
        <v>0</v>
      </c>
      <c r="AI52" s="54">
        <f t="shared" si="131"/>
        <v>0</v>
      </c>
      <c r="AJ52" s="177">
        <f t="shared" si="73"/>
        <v>0</v>
      </c>
      <c r="AK52" s="54">
        <f t="shared" si="132"/>
        <v>0</v>
      </c>
      <c r="AL52" s="55">
        <f t="shared" si="133"/>
        <v>0</v>
      </c>
      <c r="AM52" s="179">
        <f t="shared" si="134"/>
        <v>8.6250225651600246E-2</v>
      </c>
      <c r="AN52" s="52">
        <f t="shared" si="135"/>
        <v>0</v>
      </c>
      <c r="AO52" s="74">
        <f t="shared" si="136"/>
        <v>0</v>
      </c>
      <c r="AP52" s="78">
        <v>0</v>
      </c>
      <c r="AQ52" s="87">
        <f t="shared" si="137"/>
        <v>0</v>
      </c>
      <c r="AR52" s="46">
        <f t="shared" si="138"/>
        <v>326.15257396050879</v>
      </c>
      <c r="AS52" s="69">
        <f t="shared" si="139"/>
        <v>0.24461443047038159</v>
      </c>
      <c r="AT52" s="42">
        <f t="shared" si="140"/>
        <v>318.82231540723296</v>
      </c>
      <c r="AU52" s="79">
        <f t="shared" si="141"/>
        <v>0.23911673655542473</v>
      </c>
      <c r="AV52" s="83">
        <f t="shared" si="75"/>
        <v>1.8084939085802813E-3</v>
      </c>
      <c r="AW52" s="84">
        <f t="shared" si="76"/>
        <v>3.4848179636163385E-3</v>
      </c>
      <c r="AX52" s="42">
        <f t="shared" si="142"/>
        <v>2.639489953632148E-2</v>
      </c>
      <c r="AY52" s="43">
        <f t="shared" si="77"/>
        <v>2.7378713737740076E-2</v>
      </c>
      <c r="AZ52" s="85">
        <f t="shared" si="143"/>
        <v>0</v>
      </c>
      <c r="BA52" s="86">
        <f t="shared" si="78"/>
        <v>0</v>
      </c>
      <c r="BB52" s="85">
        <f t="shared" si="144"/>
        <v>0</v>
      </c>
      <c r="BC52" s="86">
        <f t="shared" si="79"/>
        <v>0</v>
      </c>
      <c r="BD52" s="85">
        <f t="shared" si="145"/>
        <v>0</v>
      </c>
      <c r="BE52" s="86">
        <f t="shared" si="80"/>
        <v>0</v>
      </c>
      <c r="BF52" s="85">
        <f t="shared" si="146"/>
        <v>0</v>
      </c>
      <c r="BG52" s="86">
        <f t="shared" si="81"/>
        <v>0</v>
      </c>
      <c r="BH52" s="85">
        <f t="shared" si="147"/>
        <v>0</v>
      </c>
      <c r="BI52" s="86">
        <f t="shared" si="82"/>
        <v>0</v>
      </c>
      <c r="BJ52" s="85">
        <f t="shared" si="148"/>
        <v>0</v>
      </c>
      <c r="BK52" s="207">
        <f t="shared" si="149"/>
        <v>0</v>
      </c>
      <c r="BL52" s="85">
        <f t="shared" si="83"/>
        <v>5.9066925146258178E-2</v>
      </c>
      <c r="BM52" s="176">
        <f t="shared" si="84"/>
        <v>5.9066925146258178E-2</v>
      </c>
      <c r="BN52" s="176">
        <f t="shared" si="85"/>
        <v>5.9066925146258178E-2</v>
      </c>
      <c r="BO52" s="176">
        <f t="shared" si="86"/>
        <v>0.30368135561663978</v>
      </c>
      <c r="BP52" s="86">
        <f t="shared" si="87"/>
        <v>0.29818366170168292</v>
      </c>
      <c r="BQ52" s="211">
        <f t="shared" si="88"/>
        <v>1.1769662195898827E-3</v>
      </c>
      <c r="BR52" s="237">
        <f t="shared" si="150"/>
        <v>2.5000000000000001E-3</v>
      </c>
      <c r="BS52" s="237">
        <f t="shared" si="151"/>
        <v>0</v>
      </c>
      <c r="BT52" s="237">
        <f t="shared" si="152"/>
        <v>0</v>
      </c>
      <c r="BU52" s="237">
        <f t="shared" si="153"/>
        <v>0</v>
      </c>
      <c r="BV52" s="237">
        <f t="shared" si="154"/>
        <v>0</v>
      </c>
      <c r="BW52" s="237">
        <f t="shared" si="155"/>
        <v>0</v>
      </c>
      <c r="BX52" s="212">
        <f t="shared" si="156"/>
        <v>0</v>
      </c>
      <c r="BY52" s="238">
        <f t="shared" si="89"/>
        <v>3.676966219589883E-3</v>
      </c>
      <c r="BZ52" s="244">
        <f t="shared" si="90"/>
        <v>6.389245192059363E-5</v>
      </c>
      <c r="CA52" s="243">
        <f t="shared" si="157"/>
        <v>8.1595588235294142E-2</v>
      </c>
      <c r="CB52" s="243">
        <f t="shared" si="158"/>
        <v>0.1008</v>
      </c>
      <c r="CC52" s="238">
        <f t="shared" si="91"/>
        <v>0.18245948068721474</v>
      </c>
      <c r="CD52" s="244">
        <f t="shared" si="159"/>
        <v>0.15</v>
      </c>
      <c r="CE52" s="243">
        <f t="shared" si="160"/>
        <v>0.09</v>
      </c>
      <c r="CF52" s="243">
        <f t="shared" si="42"/>
        <v>0</v>
      </c>
      <c r="CG52" s="243">
        <f t="shared" si="161"/>
        <v>0</v>
      </c>
      <c r="CH52" s="243">
        <f t="shared" si="44"/>
        <v>0</v>
      </c>
      <c r="CI52" s="243">
        <f t="shared" si="162"/>
        <v>0</v>
      </c>
      <c r="CJ52" s="243">
        <f t="shared" si="46"/>
        <v>0</v>
      </c>
      <c r="CK52" s="243">
        <f t="shared" si="163"/>
        <v>0</v>
      </c>
      <c r="CL52" s="243">
        <f t="shared" si="48"/>
        <v>0</v>
      </c>
      <c r="CM52" s="243">
        <f t="shared" si="164"/>
        <v>0</v>
      </c>
      <c r="CN52" s="243">
        <f t="shared" si="50"/>
        <v>0</v>
      </c>
      <c r="CO52" s="243">
        <f t="shared" si="165"/>
        <v>0</v>
      </c>
      <c r="CP52" s="243">
        <f t="shared" si="52"/>
        <v>0</v>
      </c>
      <c r="CQ52" s="243">
        <f t="shared" si="166"/>
        <v>0</v>
      </c>
      <c r="CR52" s="238">
        <f t="shared" si="167"/>
        <v>0.24</v>
      </c>
      <c r="CS52" s="246">
        <f t="shared" si="168"/>
        <v>1.1072414999101053E-2</v>
      </c>
      <c r="CT52" s="188">
        <f t="shared" si="92"/>
        <v>0.43720886190590569</v>
      </c>
      <c r="CU52" s="206">
        <f t="shared" si="169"/>
        <v>7.9372088619059058</v>
      </c>
      <c r="CV52" s="227">
        <f t="shared" si="170"/>
        <v>0.94491654818304449</v>
      </c>
      <c r="CW52">
        <f t="shared" si="171"/>
        <v>97.84</v>
      </c>
      <c r="CX52">
        <f t="shared" si="172"/>
        <v>115.63416248086281</v>
      </c>
      <c r="DA52" s="22">
        <v>400000</v>
      </c>
      <c r="DB52" s="22">
        <f t="shared" si="93"/>
        <v>2513274.1228718343</v>
      </c>
      <c r="DC52" s="253">
        <f t="shared" si="94"/>
        <v>-18.854704228517129</v>
      </c>
      <c r="DD52" s="93">
        <f t="shared" si="112"/>
        <v>179.03324968151986</v>
      </c>
      <c r="DE52" s="253">
        <f t="shared" si="113"/>
        <v>-26.778376631380429</v>
      </c>
      <c r="DF52" s="93">
        <f t="shared" si="114"/>
        <v>-173.7564519734066</v>
      </c>
      <c r="DG52" s="251">
        <f t="shared" si="115"/>
        <v>-31.307803278333076</v>
      </c>
      <c r="DH52" s="93">
        <f t="shared" si="116"/>
        <v>-153.07232647625176</v>
      </c>
      <c r="DI52" s="91">
        <f t="shared" si="100"/>
        <v>-11.568659571069189</v>
      </c>
      <c r="DJ52" s="251">
        <f t="shared" si="101"/>
        <v>93.80507296994044</v>
      </c>
      <c r="DK52" s="92">
        <f t="shared" si="173"/>
        <v>-11.78615462466537</v>
      </c>
      <c r="DL52" s="93">
        <f t="shared" si="174"/>
        <v>93.70944598577924</v>
      </c>
      <c r="DM52" s="253">
        <f t="shared" si="102"/>
        <v>-30.423363799586319</v>
      </c>
      <c r="DN52" s="262">
        <f t="shared" si="175"/>
        <v>-87.161677348539669</v>
      </c>
      <c r="DO52" s="253">
        <f t="shared" si="103"/>
        <v>-38.347036202449615</v>
      </c>
      <c r="DP52" s="259">
        <f t="shared" si="104"/>
        <v>-79.951379003466158</v>
      </c>
      <c r="DQ52" s="251">
        <f t="shared" si="105"/>
        <v>-42.876462849402266</v>
      </c>
      <c r="DR52" s="259">
        <f t="shared" si="106"/>
        <v>-59.26725350631132</v>
      </c>
      <c r="DS52" s="253">
        <f t="shared" si="107"/>
        <v>-30.6408588531825</v>
      </c>
      <c r="DT52" s="261">
        <f t="shared" si="176"/>
        <v>-87.257304332700883</v>
      </c>
      <c r="DU52" s="253">
        <f t="shared" si="108"/>
        <v>-38.564531256045797</v>
      </c>
      <c r="DV52" s="93">
        <f t="shared" si="109"/>
        <v>-80.047005987627358</v>
      </c>
      <c r="DW52" s="251">
        <f t="shared" si="110"/>
        <v>-43.093957902998447</v>
      </c>
      <c r="DX52" s="93">
        <f t="shared" si="111"/>
        <v>-59.36288049047252</v>
      </c>
    </row>
    <row r="53" spans="1:128" ht="15.75" thickBot="1" x14ac:dyDescent="0.3">
      <c r="A53" s="12" t="s">
        <v>401</v>
      </c>
      <c r="B53" s="190">
        <f>IF(AND(VOUTAUX&lt;&gt;0,IoutAux&lt;&gt;0,VoutAUX_Ripple&lt;&gt;0),(IoutAux*B7)/(Fsw*VoutAUX_Ripple*(10^-3)),0)</f>
        <v>0</v>
      </c>
      <c r="C53" s="12" t="s">
        <v>343</v>
      </c>
      <c r="L53" s="58">
        <v>49</v>
      </c>
      <c r="M53" s="62">
        <f t="shared" si="117"/>
        <v>58.92</v>
      </c>
      <c r="N53" s="42">
        <f t="shared" si="118"/>
        <v>7.1745760588532803E-4</v>
      </c>
      <c r="O53" s="19">
        <f t="shared" si="119"/>
        <v>6.4571184529679511E-4</v>
      </c>
      <c r="P53" s="43">
        <f t="shared" si="120"/>
        <v>5.8701076845163209E-4</v>
      </c>
      <c r="Q53" s="60">
        <f t="shared" si="121"/>
        <v>0.40914560770156444</v>
      </c>
      <c r="R53" s="63">
        <f t="shared" si="122"/>
        <v>0.12729124236252545</v>
      </c>
      <c r="S53" s="28">
        <f t="shared" si="123"/>
        <v>0.31111477177429009</v>
      </c>
      <c r="T53" s="12">
        <f t="shared" si="124"/>
        <v>0.50222623345367046</v>
      </c>
      <c r="U53" s="12">
        <f t="shared" si="64"/>
        <v>0.56222788850112537</v>
      </c>
      <c r="V53" s="55">
        <f t="shared" si="125"/>
        <v>0.48682827270409124</v>
      </c>
      <c r="W53" s="54">
        <f t="shared" si="65"/>
        <v>0.21954982599539855</v>
      </c>
      <c r="X53" s="55">
        <f t="shared" si="66"/>
        <v>0.17888282676773246</v>
      </c>
      <c r="Y53" s="54">
        <f t="shared" si="126"/>
        <v>0.71274252455651399</v>
      </c>
      <c r="Z53" s="55">
        <f t="shared" si="67"/>
        <v>0.50793888048779345</v>
      </c>
      <c r="AA53" s="54">
        <f t="shared" si="127"/>
        <v>0</v>
      </c>
      <c r="AB53" s="55">
        <f t="shared" si="68"/>
        <v>0</v>
      </c>
      <c r="AC53" s="54">
        <f t="shared" si="128"/>
        <v>0</v>
      </c>
      <c r="AD53" s="55">
        <f t="shared" si="69"/>
        <v>0</v>
      </c>
      <c r="AE53" s="54">
        <f t="shared" si="129"/>
        <v>0</v>
      </c>
      <c r="AF53" s="55">
        <f t="shared" si="70"/>
        <v>0</v>
      </c>
      <c r="AG53" s="54">
        <f t="shared" si="130"/>
        <v>0</v>
      </c>
      <c r="AH53" s="55">
        <f t="shared" si="71"/>
        <v>0</v>
      </c>
      <c r="AI53" s="54">
        <f t="shared" si="131"/>
        <v>0</v>
      </c>
      <c r="AJ53" s="177">
        <f t="shared" si="73"/>
        <v>0</v>
      </c>
      <c r="AK53" s="54">
        <f t="shared" si="132"/>
        <v>0</v>
      </c>
      <c r="AL53" s="55">
        <f t="shared" si="133"/>
        <v>0</v>
      </c>
      <c r="AM53" s="179">
        <f t="shared" si="134"/>
        <v>8.6909147039354609E-2</v>
      </c>
      <c r="AN53" s="52">
        <f t="shared" si="135"/>
        <v>0</v>
      </c>
      <c r="AO53" s="74">
        <f t="shared" si="136"/>
        <v>0</v>
      </c>
      <c r="AP53" s="78">
        <v>0</v>
      </c>
      <c r="AQ53" s="87">
        <f t="shared" si="137"/>
        <v>0</v>
      </c>
      <c r="AR53" s="46">
        <f t="shared" si="138"/>
        <v>332.82256936755658</v>
      </c>
      <c r="AS53" s="69">
        <f t="shared" si="139"/>
        <v>0.24961692702566746</v>
      </c>
      <c r="AT53" s="42">
        <f t="shared" si="140"/>
        <v>324.84756869663897</v>
      </c>
      <c r="AU53" s="79">
        <f t="shared" si="141"/>
        <v>0.24363567652247922</v>
      </c>
      <c r="AV53" s="83">
        <f t="shared" si="75"/>
        <v>1.7428023727170758E-3</v>
      </c>
      <c r="AW53" s="84">
        <f t="shared" si="76"/>
        <v>3.4418218739471419E-3</v>
      </c>
      <c r="AX53" s="42">
        <f t="shared" si="142"/>
        <v>2.639489953632148E-2</v>
      </c>
      <c r="AY53" s="43">
        <f t="shared" si="77"/>
        <v>2.7239737589053455E-2</v>
      </c>
      <c r="AZ53" s="85">
        <f t="shared" si="143"/>
        <v>0</v>
      </c>
      <c r="BA53" s="86">
        <f t="shared" si="78"/>
        <v>0</v>
      </c>
      <c r="BB53" s="85">
        <f t="shared" si="144"/>
        <v>0</v>
      </c>
      <c r="BC53" s="86">
        <f t="shared" si="79"/>
        <v>0</v>
      </c>
      <c r="BD53" s="85">
        <f t="shared" si="145"/>
        <v>0</v>
      </c>
      <c r="BE53" s="86">
        <f t="shared" si="80"/>
        <v>0</v>
      </c>
      <c r="BF53" s="85">
        <f t="shared" si="146"/>
        <v>0</v>
      </c>
      <c r="BG53" s="86">
        <f t="shared" si="81"/>
        <v>0</v>
      </c>
      <c r="BH53" s="85">
        <f t="shared" si="147"/>
        <v>0</v>
      </c>
      <c r="BI53" s="86">
        <f t="shared" si="82"/>
        <v>0</v>
      </c>
      <c r="BJ53" s="85">
        <f t="shared" si="148"/>
        <v>0</v>
      </c>
      <c r="BK53" s="207">
        <f t="shared" si="149"/>
        <v>0</v>
      </c>
      <c r="BL53" s="85">
        <f t="shared" si="83"/>
        <v>5.8819261372039147E-2</v>
      </c>
      <c r="BM53" s="176">
        <f t="shared" si="84"/>
        <v>5.8819261372039147E-2</v>
      </c>
      <c r="BN53" s="176">
        <f t="shared" si="85"/>
        <v>5.8819261372039147E-2</v>
      </c>
      <c r="BO53" s="176">
        <f t="shared" si="86"/>
        <v>0.30843618839770659</v>
      </c>
      <c r="BP53" s="86">
        <f t="shared" si="87"/>
        <v>0.30245493789451838</v>
      </c>
      <c r="BQ53" s="211">
        <f t="shared" si="88"/>
        <v>1.1342142267536637E-3</v>
      </c>
      <c r="BR53" s="237">
        <f t="shared" si="150"/>
        <v>2.5000000000000001E-3</v>
      </c>
      <c r="BS53" s="237">
        <f t="shared" si="151"/>
        <v>0</v>
      </c>
      <c r="BT53" s="237">
        <f t="shared" si="152"/>
        <v>0</v>
      </c>
      <c r="BU53" s="237">
        <f t="shared" si="153"/>
        <v>0</v>
      </c>
      <c r="BV53" s="237">
        <f t="shared" si="154"/>
        <v>0</v>
      </c>
      <c r="BW53" s="237">
        <f t="shared" si="155"/>
        <v>0</v>
      </c>
      <c r="BX53" s="212">
        <f t="shared" si="156"/>
        <v>0</v>
      </c>
      <c r="BY53" s="238">
        <f t="shared" si="89"/>
        <v>3.6342142267536638E-3</v>
      </c>
      <c r="BZ53" s="244">
        <f t="shared" si="90"/>
        <v>6.1571629452341741E-5</v>
      </c>
      <c r="CA53" s="243">
        <f t="shared" si="157"/>
        <v>8.2488970588235289E-2</v>
      </c>
      <c r="CB53" s="243">
        <f t="shared" si="158"/>
        <v>0.1008</v>
      </c>
      <c r="CC53" s="238">
        <f t="shared" si="91"/>
        <v>0.18335054221768765</v>
      </c>
      <c r="CD53" s="244">
        <f t="shared" si="159"/>
        <v>0.15</v>
      </c>
      <c r="CE53" s="243">
        <f t="shared" si="160"/>
        <v>0.09</v>
      </c>
      <c r="CF53" s="243">
        <f t="shared" si="42"/>
        <v>0</v>
      </c>
      <c r="CG53" s="243">
        <f t="shared" si="161"/>
        <v>0</v>
      </c>
      <c r="CH53" s="243">
        <f t="shared" si="44"/>
        <v>0</v>
      </c>
      <c r="CI53" s="243">
        <f t="shared" si="162"/>
        <v>0</v>
      </c>
      <c r="CJ53" s="243">
        <f t="shared" si="46"/>
        <v>0</v>
      </c>
      <c r="CK53" s="243">
        <f t="shared" si="163"/>
        <v>0</v>
      </c>
      <c r="CL53" s="243">
        <f t="shared" si="48"/>
        <v>0</v>
      </c>
      <c r="CM53" s="243">
        <f t="shared" si="164"/>
        <v>0</v>
      </c>
      <c r="CN53" s="243">
        <f t="shared" si="50"/>
        <v>0</v>
      </c>
      <c r="CO53" s="243">
        <f t="shared" si="165"/>
        <v>0</v>
      </c>
      <c r="CP53" s="243">
        <f t="shared" si="52"/>
        <v>0</v>
      </c>
      <c r="CQ53" s="243">
        <f t="shared" si="166"/>
        <v>0</v>
      </c>
      <c r="CR53" s="238">
        <f t="shared" si="167"/>
        <v>0.24</v>
      </c>
      <c r="CS53" s="246">
        <f t="shared" si="168"/>
        <v>1.0285014293015211E-2</v>
      </c>
      <c r="CT53" s="188">
        <f t="shared" si="92"/>
        <v>0.43726977073745654</v>
      </c>
      <c r="CU53" s="206">
        <f t="shared" si="169"/>
        <v>7.9372697707374567</v>
      </c>
      <c r="CV53" s="227">
        <f t="shared" si="170"/>
        <v>0.94490929710496285</v>
      </c>
      <c r="CW53">
        <f t="shared" si="171"/>
        <v>98.92</v>
      </c>
      <c r="CX53">
        <f t="shared" si="172"/>
        <v>116.69920691730748</v>
      </c>
      <c r="DA53" s="22">
        <v>500000</v>
      </c>
      <c r="DB53" s="22">
        <f t="shared" si="93"/>
        <v>3141592.653589793</v>
      </c>
      <c r="DC53" s="253">
        <f t="shared" si="94"/>
        <v>-18.860476320551452</v>
      </c>
      <c r="DD53" s="93">
        <f t="shared" si="112"/>
        <v>179.22459761840602</v>
      </c>
      <c r="DE53" s="253">
        <f t="shared" si="113"/>
        <v>-26.800522946777523</v>
      </c>
      <c r="DF53" s="93">
        <f t="shared" si="114"/>
        <v>-174.99738553998682</v>
      </c>
      <c r="DG53" s="251">
        <f t="shared" si="115"/>
        <v>-31.583691157346916</v>
      </c>
      <c r="DH53" s="93">
        <f t="shared" si="116"/>
        <v>-157.99936815422711</v>
      </c>
      <c r="DI53" s="91">
        <f t="shared" si="100"/>
        <v>-13.499932674071127</v>
      </c>
      <c r="DJ53" s="251">
        <f t="shared" si="101"/>
        <v>93.045682333636861</v>
      </c>
      <c r="DK53" s="92">
        <f t="shared" si="173"/>
        <v>-13.717769240260653</v>
      </c>
      <c r="DL53" s="93">
        <f t="shared" si="174"/>
        <v>92.969062066689844</v>
      </c>
      <c r="DM53" s="253">
        <f t="shared" si="102"/>
        <v>-32.360408994622581</v>
      </c>
      <c r="DN53" s="262">
        <f t="shared" si="175"/>
        <v>-87.729720047957102</v>
      </c>
      <c r="DO53" s="253">
        <f t="shared" si="103"/>
        <v>-40.300455620848652</v>
      </c>
      <c r="DP53" s="259">
        <f t="shared" si="104"/>
        <v>-81.951703206349961</v>
      </c>
      <c r="DQ53" s="251">
        <f t="shared" si="105"/>
        <v>-45.083623831418045</v>
      </c>
      <c r="DR53" s="259">
        <f t="shared" si="106"/>
        <v>-64.953685820590252</v>
      </c>
      <c r="DS53" s="253">
        <f t="shared" si="107"/>
        <v>-32.578245560812107</v>
      </c>
      <c r="DT53" s="261">
        <f t="shared" si="176"/>
        <v>-87.806340314904133</v>
      </c>
      <c r="DU53" s="253">
        <f t="shared" si="108"/>
        <v>-40.518292187038178</v>
      </c>
      <c r="DV53" s="93">
        <f t="shared" si="109"/>
        <v>-82.028323473296979</v>
      </c>
      <c r="DW53" s="251">
        <f t="shared" si="110"/>
        <v>-45.30146039760757</v>
      </c>
      <c r="DX53" s="93">
        <f t="shared" si="111"/>
        <v>-65.030306087537269</v>
      </c>
    </row>
    <row r="54" spans="1:128" ht="15.75" thickBot="1" x14ac:dyDescent="0.3">
      <c r="A54" s="12" t="s">
        <v>402</v>
      </c>
      <c r="B54" s="190">
        <f>COUTAUX_FlyB_CCM</f>
        <v>3.9999999999999998E-6</v>
      </c>
      <c r="C54" s="12" t="s">
        <v>343</v>
      </c>
      <c r="L54" s="58">
        <v>50</v>
      </c>
      <c r="M54" s="64">
        <f t="shared" si="117"/>
        <v>60</v>
      </c>
      <c r="N54" s="44">
        <f t="shared" si="118"/>
        <v>7.2814310909549013E-4</v>
      </c>
      <c r="O54" s="36">
        <f t="shared" si="119"/>
        <v>6.5532879818594111E-4</v>
      </c>
      <c r="P54" s="45">
        <f t="shared" si="120"/>
        <v>5.9575345289631016E-4</v>
      </c>
      <c r="Q54" s="60">
        <f t="shared" si="121"/>
        <v>0.40476190476190482</v>
      </c>
      <c r="R54" s="65">
        <f t="shared" si="122"/>
        <v>0.125</v>
      </c>
      <c r="S54" s="30">
        <f t="shared" si="123"/>
        <v>0.30882352941176466</v>
      </c>
      <c r="T54" s="31">
        <f t="shared" si="124"/>
        <v>0.50595238095238104</v>
      </c>
      <c r="U54" s="31">
        <f t="shared" si="64"/>
        <v>0.56179971988795518</v>
      </c>
      <c r="V54" s="55">
        <f t="shared" si="125"/>
        <v>0.48430102490325488</v>
      </c>
      <c r="W54" s="54">
        <f t="shared" si="65"/>
        <v>0.21734178314622327</v>
      </c>
      <c r="X54" s="55">
        <f t="shared" si="66"/>
        <v>0.17779890523054392</v>
      </c>
      <c r="Y54" s="54">
        <f t="shared" si="126"/>
        <v>0.71189131135208428</v>
      </c>
      <c r="Z54" s="55">
        <f t="shared" si="67"/>
        <v>0.50674376086794615</v>
      </c>
      <c r="AA54" s="54">
        <f t="shared" si="127"/>
        <v>0</v>
      </c>
      <c r="AB54" s="55">
        <f t="shared" si="68"/>
        <v>0</v>
      </c>
      <c r="AC54" s="54">
        <f t="shared" si="128"/>
        <v>0</v>
      </c>
      <c r="AD54" s="55">
        <f t="shared" si="69"/>
        <v>0</v>
      </c>
      <c r="AE54" s="54">
        <f t="shared" si="129"/>
        <v>0</v>
      </c>
      <c r="AF54" s="55">
        <f t="shared" si="70"/>
        <v>0</v>
      </c>
      <c r="AG54" s="54">
        <f t="shared" si="130"/>
        <v>0</v>
      </c>
      <c r="AH54" s="55">
        <f t="shared" si="71"/>
        <v>0</v>
      </c>
      <c r="AI54" s="54">
        <f t="shared" si="131"/>
        <v>0</v>
      </c>
      <c r="AJ54" s="177">
        <f t="shared" si="73"/>
        <v>0</v>
      </c>
      <c r="AK54" s="54">
        <f t="shared" si="132"/>
        <v>0</v>
      </c>
      <c r="AL54" s="55">
        <f t="shared" si="133"/>
        <v>0</v>
      </c>
      <c r="AM54" s="180">
        <f t="shared" si="134"/>
        <v>8.7553948683085608E-2</v>
      </c>
      <c r="AN54" s="53">
        <f t="shared" si="135"/>
        <v>0</v>
      </c>
      <c r="AO54" s="75">
        <f t="shared" si="136"/>
        <v>0</v>
      </c>
      <c r="AP54" s="78">
        <v>0</v>
      </c>
      <c r="AQ54" s="88">
        <f t="shared" si="137"/>
        <v>0</v>
      </c>
      <c r="AR54" s="47">
        <f t="shared" si="138"/>
        <v>339.43141440164806</v>
      </c>
      <c r="AS54" s="70">
        <f t="shared" si="139"/>
        <v>0.25457356080123605</v>
      </c>
      <c r="AT54" s="44">
        <f t="shared" si="140"/>
        <v>330.80863363864626</v>
      </c>
      <c r="AU54" s="80">
        <f t="shared" si="141"/>
        <v>0.24810647522898469</v>
      </c>
      <c r="AV54" s="83">
        <f t="shared" si="75"/>
        <v>1.6806261552680217E-3</v>
      </c>
      <c r="AW54" s="84">
        <f t="shared" si="76"/>
        <v>3.4002375347535309E-3</v>
      </c>
      <c r="AX54" s="42">
        <f t="shared" si="142"/>
        <v>2.639489953632148E-2</v>
      </c>
      <c r="AY54" s="43">
        <f t="shared" si="77"/>
        <v>2.7111704680509264E-2</v>
      </c>
      <c r="AZ54" s="85">
        <f t="shared" si="143"/>
        <v>0</v>
      </c>
      <c r="BA54" s="86">
        <f t="shared" si="78"/>
        <v>0</v>
      </c>
      <c r="BB54" s="85">
        <f t="shared" si="144"/>
        <v>0</v>
      </c>
      <c r="BC54" s="86">
        <f t="shared" si="79"/>
        <v>0</v>
      </c>
      <c r="BD54" s="85">
        <f t="shared" si="145"/>
        <v>0</v>
      </c>
      <c r="BE54" s="86">
        <f t="shared" si="80"/>
        <v>0</v>
      </c>
      <c r="BF54" s="85">
        <f t="shared" si="146"/>
        <v>0</v>
      </c>
      <c r="BG54" s="86">
        <f t="shared" si="81"/>
        <v>0</v>
      </c>
      <c r="BH54" s="85">
        <f t="shared" si="147"/>
        <v>0</v>
      </c>
      <c r="BI54" s="86">
        <f t="shared" si="82"/>
        <v>0</v>
      </c>
      <c r="BJ54" s="85">
        <f t="shared" si="148"/>
        <v>0</v>
      </c>
      <c r="BK54" s="207">
        <f t="shared" si="149"/>
        <v>0</v>
      </c>
      <c r="BL54" s="208">
        <f t="shared" si="83"/>
        <v>5.8587467906852292E-2</v>
      </c>
      <c r="BM54" s="209">
        <f t="shared" si="84"/>
        <v>5.8587467906852292E-2</v>
      </c>
      <c r="BN54" s="209">
        <f t="shared" si="85"/>
        <v>5.8587467906852292E-2</v>
      </c>
      <c r="BO54" s="209">
        <f t="shared" si="86"/>
        <v>0.31316102870808837</v>
      </c>
      <c r="BP54" s="210">
        <f t="shared" si="87"/>
        <v>0.30669394313583698</v>
      </c>
      <c r="BQ54" s="240">
        <f t="shared" si="88"/>
        <v>1.0937500000000001E-3</v>
      </c>
      <c r="BR54" s="241">
        <f t="shared" si="150"/>
        <v>2.5000000000000001E-3</v>
      </c>
      <c r="BS54" s="241">
        <f t="shared" si="151"/>
        <v>0</v>
      </c>
      <c r="BT54" s="241">
        <f t="shared" si="152"/>
        <v>0</v>
      </c>
      <c r="BU54" s="241">
        <f t="shared" si="153"/>
        <v>0</v>
      </c>
      <c r="BV54" s="241">
        <f t="shared" si="154"/>
        <v>0</v>
      </c>
      <c r="BW54" s="241">
        <f t="shared" si="155"/>
        <v>0</v>
      </c>
      <c r="BX54" s="242">
        <f t="shared" si="156"/>
        <v>0</v>
      </c>
      <c r="BY54" s="232">
        <f t="shared" si="89"/>
        <v>3.5937500000000002E-3</v>
      </c>
      <c r="BZ54" s="189">
        <f t="shared" si="90"/>
        <v>5.9375E-5</v>
      </c>
      <c r="CA54" s="226">
        <f t="shared" si="157"/>
        <v>8.3382352941176463E-2</v>
      </c>
      <c r="CB54" s="226">
        <f t="shared" si="158"/>
        <v>0.1008</v>
      </c>
      <c r="CC54" s="232">
        <f t="shared" si="91"/>
        <v>0.18424172794117646</v>
      </c>
      <c r="CD54" s="189">
        <f t="shared" si="159"/>
        <v>0.15</v>
      </c>
      <c r="CE54" s="243">
        <f t="shared" si="160"/>
        <v>0.09</v>
      </c>
      <c r="CF54" s="243">
        <f t="shared" si="42"/>
        <v>0</v>
      </c>
      <c r="CG54" s="243">
        <f t="shared" si="161"/>
        <v>0</v>
      </c>
      <c r="CH54" s="243">
        <f t="shared" si="44"/>
        <v>0</v>
      </c>
      <c r="CI54" s="243">
        <f t="shared" si="162"/>
        <v>0</v>
      </c>
      <c r="CJ54" s="243">
        <f t="shared" si="46"/>
        <v>0</v>
      </c>
      <c r="CK54" s="243">
        <f t="shared" si="163"/>
        <v>0</v>
      </c>
      <c r="CL54" s="243">
        <f t="shared" si="48"/>
        <v>0</v>
      </c>
      <c r="CM54" s="243">
        <f t="shared" si="164"/>
        <v>0</v>
      </c>
      <c r="CN54" s="243">
        <f t="shared" si="50"/>
        <v>0</v>
      </c>
      <c r="CO54" s="243">
        <f t="shared" si="165"/>
        <v>0</v>
      </c>
      <c r="CP54" s="243">
        <f t="shared" si="52"/>
        <v>0</v>
      </c>
      <c r="CQ54" s="243">
        <f t="shared" si="166"/>
        <v>0</v>
      </c>
      <c r="CR54" s="232">
        <f t="shared" si="167"/>
        <v>0.24</v>
      </c>
      <c r="CS54" s="247">
        <f t="shared" si="168"/>
        <v>9.4685677579855465E-3</v>
      </c>
      <c r="CT54" s="189">
        <f t="shared" si="92"/>
        <v>0.43730404569916204</v>
      </c>
      <c r="CU54" s="226">
        <f t="shared" si="169"/>
        <v>7.9373040456991619</v>
      </c>
      <c r="CV54" s="228">
        <f t="shared" si="170"/>
        <v>0.94490521678628203</v>
      </c>
      <c r="CW54">
        <f t="shared" si="171"/>
        <v>100</v>
      </c>
      <c r="CX54">
        <f t="shared" si="172"/>
        <v>117.76566703690534</v>
      </c>
      <c r="DA54" s="22">
        <v>600000</v>
      </c>
      <c r="DB54" s="22">
        <f t="shared" si="93"/>
        <v>3769911.1843077517</v>
      </c>
      <c r="DC54" s="253">
        <f t="shared" si="94"/>
        <v>-18.863619643249169</v>
      </c>
      <c r="DD54" s="93">
        <f t="shared" si="112"/>
        <v>179.3529226335759</v>
      </c>
      <c r="DE54" s="253">
        <f t="shared" si="113"/>
        <v>-26.81259705070606</v>
      </c>
      <c r="DF54" s="93">
        <f t="shared" si="114"/>
        <v>-175.82761872594494</v>
      </c>
      <c r="DG54" s="251">
        <f t="shared" si="115"/>
        <v>-31.741834181122943</v>
      </c>
      <c r="DH54" s="93">
        <f t="shared" si="116"/>
        <v>-161.44527586661675</v>
      </c>
      <c r="DI54" s="91">
        <f t="shared" si="100"/>
        <v>-15.079790058485438</v>
      </c>
      <c r="DJ54" s="251">
        <f t="shared" si="101"/>
        <v>92.538804823463167</v>
      </c>
      <c r="DK54" s="92">
        <f t="shared" si="173"/>
        <v>-15.29781258379151</v>
      </c>
      <c r="DL54" s="93">
        <f t="shared" si="174"/>
        <v>92.474900748520099</v>
      </c>
      <c r="DM54" s="253">
        <f t="shared" si="102"/>
        <v>-33.943409701734609</v>
      </c>
      <c r="DN54" s="262">
        <f t="shared" si="175"/>
        <v>-88.108272542960933</v>
      </c>
      <c r="DO54" s="253">
        <f t="shared" si="103"/>
        <v>-41.892387109191496</v>
      </c>
      <c r="DP54" s="259">
        <f t="shared" si="104"/>
        <v>-83.288813902481778</v>
      </c>
      <c r="DQ54" s="251">
        <f t="shared" si="105"/>
        <v>-46.821624239608383</v>
      </c>
      <c r="DR54" s="259">
        <f t="shared" si="106"/>
        <v>-68.906471043153587</v>
      </c>
      <c r="DS54" s="253">
        <f t="shared" si="107"/>
        <v>-34.161432227040677</v>
      </c>
      <c r="DT54" s="261">
        <f t="shared" si="176"/>
        <v>-88.172176617904015</v>
      </c>
      <c r="DU54" s="253">
        <f t="shared" si="108"/>
        <v>-42.110409634497572</v>
      </c>
      <c r="DV54" s="93">
        <f t="shared" si="109"/>
        <v>-83.352717977424845</v>
      </c>
      <c r="DW54" s="251">
        <f t="shared" si="110"/>
        <v>-47.039646764914451</v>
      </c>
      <c r="DX54" s="93">
        <f t="shared" si="111"/>
        <v>-68.970375118096655</v>
      </c>
    </row>
    <row r="55" spans="1:128" ht="15" x14ac:dyDescent="0.25">
      <c r="A55" s="524" t="s">
        <v>423</v>
      </c>
      <c r="B55" s="524"/>
      <c r="C55" s="524"/>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DA55" s="22">
        <v>700000</v>
      </c>
      <c r="DB55" s="22">
        <f t="shared" si="93"/>
        <v>4398229.7150257099</v>
      </c>
      <c r="DC55" s="253">
        <f t="shared" si="94"/>
        <v>-18.865517652426238</v>
      </c>
      <c r="DD55" s="93">
        <f t="shared" si="112"/>
        <v>179.44489190304867</v>
      </c>
      <c r="DE55" s="253">
        <f t="shared" si="113"/>
        <v>-26.819892414132017</v>
      </c>
      <c r="DF55" s="93">
        <f t="shared" si="114"/>
        <v>-176.42184107975029</v>
      </c>
      <c r="DG55" s="251">
        <f t="shared" si="115"/>
        <v>-31.840256922615723</v>
      </c>
      <c r="DH55" s="93">
        <f t="shared" si="116"/>
        <v>-163.97754651226498</v>
      </c>
      <c r="DI55" s="91">
        <f t="shared" si="100"/>
        <v>-16.416452564860691</v>
      </c>
      <c r="DJ55" s="251">
        <f t="shared" si="101"/>
        <v>92.176499234421669</v>
      </c>
      <c r="DK55" s="92">
        <f t="shared" si="173"/>
        <v>-16.634587369865624</v>
      </c>
      <c r="DL55" s="93">
        <f t="shared" si="174"/>
        <v>92.121696442667016</v>
      </c>
      <c r="DM55" s="253">
        <f t="shared" si="102"/>
        <v>-35.281970217286926</v>
      </c>
      <c r="DN55" s="262">
        <f t="shared" si="175"/>
        <v>-88.378608862529674</v>
      </c>
      <c r="DO55" s="253">
        <f t="shared" si="103"/>
        <v>-43.236344978992705</v>
      </c>
      <c r="DP55" s="259">
        <f t="shared" si="104"/>
        <v>-84.245341845328625</v>
      </c>
      <c r="DQ55" s="251">
        <f t="shared" si="105"/>
        <v>-48.256709487476414</v>
      </c>
      <c r="DR55" s="259">
        <f t="shared" si="106"/>
        <v>-71.80104727784331</v>
      </c>
      <c r="DS55" s="253">
        <f t="shared" si="107"/>
        <v>-35.500105022291862</v>
      </c>
      <c r="DT55" s="261">
        <f t="shared" si="176"/>
        <v>-88.433411654284328</v>
      </c>
      <c r="DU55" s="253">
        <f t="shared" si="108"/>
        <v>-43.454479783997641</v>
      </c>
      <c r="DV55" s="93">
        <f t="shared" si="109"/>
        <v>-84.300144637083278</v>
      </c>
      <c r="DW55" s="251">
        <f t="shared" si="110"/>
        <v>-48.47484429248135</v>
      </c>
      <c r="DX55" s="93">
        <f t="shared" si="111"/>
        <v>-71.855850069597963</v>
      </c>
    </row>
    <row r="56" spans="1:128" ht="15" x14ac:dyDescent="0.25">
      <c r="A56" s="204" t="s">
        <v>432</v>
      </c>
      <c r="B56" s="204">
        <f>IF(AND(Vout1&lt;&gt;0,Iout1&lt;&gt;0,Ns1_Flyback&lt;&gt;0),ABS(Vout1)+((Ns1_Flyback/Np)*VinMax),0)</f>
        <v>37.5</v>
      </c>
      <c r="C56" s="204" t="s">
        <v>5</v>
      </c>
      <c r="DA56" s="22">
        <v>800000</v>
      </c>
      <c r="DB56" s="22">
        <f t="shared" si="93"/>
        <v>5026548.2457436686</v>
      </c>
      <c r="DC56" s="253">
        <f t="shared" si="94"/>
        <v>-18.866750616303662</v>
      </c>
      <c r="DD56" s="93">
        <f t="shared" si="112"/>
        <v>179.51401304876654</v>
      </c>
      <c r="DE56" s="253">
        <f t="shared" si="113"/>
        <v>-26.82463346908866</v>
      </c>
      <c r="DF56" s="93">
        <f t="shared" si="114"/>
        <v>-176.8680688239335</v>
      </c>
      <c r="DG56" s="251">
        <f t="shared" si="115"/>
        <v>-31.905437224923148</v>
      </c>
      <c r="DH56" s="93">
        <f t="shared" si="116"/>
        <v>-165.91152672051919</v>
      </c>
      <c r="DI56" s="91">
        <f t="shared" si="100"/>
        <v>-17.574815417159805</v>
      </c>
      <c r="DJ56" s="251">
        <f t="shared" si="101"/>
        <v>91.904653209927829</v>
      </c>
      <c r="DK56" s="92">
        <f t="shared" si="173"/>
        <v>-17.793023157393336</v>
      </c>
      <c r="DL56" s="93">
        <f t="shared" si="174"/>
        <v>91.856684925981227</v>
      </c>
      <c r="DM56" s="253">
        <f t="shared" si="102"/>
        <v>-36.441566033463467</v>
      </c>
      <c r="DN56" s="262">
        <f t="shared" si="175"/>
        <v>-88.581333741305627</v>
      </c>
      <c r="DO56" s="253">
        <f t="shared" si="103"/>
        <v>-44.399448886248464</v>
      </c>
      <c r="DP56" s="259">
        <f t="shared" si="104"/>
        <v>-84.963415614005669</v>
      </c>
      <c r="DQ56" s="251">
        <f t="shared" si="105"/>
        <v>-49.480252642082952</v>
      </c>
      <c r="DR56" s="259">
        <f t="shared" si="106"/>
        <v>-74.006873510591362</v>
      </c>
      <c r="DS56" s="253">
        <f t="shared" si="107"/>
        <v>-36.659773773696998</v>
      </c>
      <c r="DT56" s="261">
        <f t="shared" si="176"/>
        <v>-88.629302025252215</v>
      </c>
      <c r="DU56" s="253">
        <f t="shared" si="108"/>
        <v>-44.617656626481995</v>
      </c>
      <c r="DV56" s="93">
        <f t="shared" si="109"/>
        <v>-85.011383897952271</v>
      </c>
      <c r="DW56" s="251">
        <f t="shared" si="110"/>
        <v>-49.698460382316483</v>
      </c>
      <c r="DX56" s="93">
        <f t="shared" si="111"/>
        <v>-74.054841794537964</v>
      </c>
    </row>
    <row r="57" spans="1:128" ht="15" x14ac:dyDescent="0.25">
      <c r="A57" s="204" t="s">
        <v>433</v>
      </c>
      <c r="B57" s="12">
        <f>IF(AND(Vout2&lt;&gt;0,Iout2&lt;&gt;0,Ns2_Flyback&lt;&gt;0),ABS(Vout2)+((Ns2_Flyback/Np)*VinMax),0)</f>
        <v>0</v>
      </c>
      <c r="C57" s="204" t="s">
        <v>5</v>
      </c>
      <c r="DA57" s="22">
        <v>900000</v>
      </c>
      <c r="DB57" s="22">
        <f t="shared" si="93"/>
        <v>5654866.7764616273</v>
      </c>
      <c r="DC57" s="253">
        <f t="shared" si="94"/>
        <v>-18.867596425431874</v>
      </c>
      <c r="DD57" s="93">
        <f t="shared" si="112"/>
        <v>179.56784856021892</v>
      </c>
      <c r="DE57" s="253">
        <f t="shared" si="113"/>
        <v>-26.827886693746372</v>
      </c>
      <c r="DF57" s="93">
        <f t="shared" si="114"/>
        <v>-177.21542542058543</v>
      </c>
      <c r="DG57" s="251">
        <f t="shared" si="115"/>
        <v>-31.950736045943113</v>
      </c>
      <c r="DH57" s="93">
        <f t="shared" si="116"/>
        <v>-167.4343049218339</v>
      </c>
      <c r="DI57" s="91">
        <f t="shared" si="100"/>
        <v>-18.596853575574091</v>
      </c>
      <c r="DJ57" s="251">
        <f t="shared" si="101"/>
        <v>91.693156986866725</v>
      </c>
      <c r="DK57" s="92">
        <f t="shared" si="173"/>
        <v>-18.81511134791101</v>
      </c>
      <c r="DL57" s="93">
        <f t="shared" si="174"/>
        <v>91.650508852941343</v>
      </c>
      <c r="DM57" s="253">
        <f t="shared" si="102"/>
        <v>-37.464450001005964</v>
      </c>
      <c r="DN57" s="262">
        <f t="shared" si="175"/>
        <v>-88.738994452914355</v>
      </c>
      <c r="DO57" s="253">
        <f t="shared" si="103"/>
        <v>-45.424740269320466</v>
      </c>
      <c r="DP57" s="259">
        <f t="shared" si="104"/>
        <v>-85.522268433718708</v>
      </c>
      <c r="DQ57" s="251">
        <f t="shared" si="105"/>
        <v>-50.547589621517204</v>
      </c>
      <c r="DR57" s="259">
        <f t="shared" si="106"/>
        <v>-75.741147934967174</v>
      </c>
      <c r="DS57" s="253">
        <f t="shared" si="107"/>
        <v>-37.682707773342884</v>
      </c>
      <c r="DT57" s="261">
        <f t="shared" si="176"/>
        <v>-88.781642586839752</v>
      </c>
      <c r="DU57" s="253">
        <f t="shared" si="108"/>
        <v>-45.642998041657378</v>
      </c>
      <c r="DV57" s="93">
        <f t="shared" si="109"/>
        <v>-85.56491656764409</v>
      </c>
      <c r="DW57" s="251">
        <f t="shared" si="110"/>
        <v>-50.765847393854123</v>
      </c>
      <c r="DX57" s="93">
        <f t="shared" si="111"/>
        <v>-75.783796068892556</v>
      </c>
    </row>
    <row r="58" spans="1:128" ht="15" x14ac:dyDescent="0.25">
      <c r="A58" s="204" t="s">
        <v>434</v>
      </c>
      <c r="B58" s="12">
        <f>IF(AND(Vout3&lt;&gt;0,Iout3&lt;&gt;0,Ns3_Flyback&lt;&gt;0),ABS(Vout3)+((Ns3_Flyback/Np)*VinMax),0)</f>
        <v>0</v>
      </c>
      <c r="C58" s="204" t="s">
        <v>5</v>
      </c>
      <c r="DA58" s="22">
        <v>1000000</v>
      </c>
      <c r="DB58" s="22">
        <f t="shared" si="93"/>
        <v>6283185.307179586</v>
      </c>
      <c r="DC58" s="253">
        <f t="shared" si="94"/>
        <v>-18.868201674030633</v>
      </c>
      <c r="DD58" s="93">
        <f t="shared" si="112"/>
        <v>179.61095870049672</v>
      </c>
      <c r="DE58" s="253">
        <f t="shared" si="113"/>
        <v>-26.830215092055546</v>
      </c>
      <c r="DF58" s="93">
        <f t="shared" si="114"/>
        <v>-177.49347330072365</v>
      </c>
      <c r="DG58" s="251">
        <f t="shared" si="115"/>
        <v>-31.983450198973806</v>
      </c>
      <c r="DH58" s="93">
        <f t="shared" si="116"/>
        <v>-168.66313970134328</v>
      </c>
      <c r="DI58" s="91">
        <f t="shared" si="100"/>
        <v>-19.511279156544106</v>
      </c>
      <c r="DJ58" s="251">
        <f t="shared" si="101"/>
        <v>91.52392622844458</v>
      </c>
      <c r="DK58" s="92">
        <f t="shared" si="173"/>
        <v>-19.729572730508938</v>
      </c>
      <c r="DL58" s="93">
        <f t="shared" si="174"/>
        <v>91.48553668716562</v>
      </c>
      <c r="DM58" s="253">
        <f t="shared" si="102"/>
        <v>-38.379480830574735</v>
      </c>
      <c r="DN58" s="262">
        <f t="shared" si="175"/>
        <v>-88.865115071058682</v>
      </c>
      <c r="DO58" s="253">
        <f t="shared" si="103"/>
        <v>-46.341494248599652</v>
      </c>
      <c r="DP58" s="259">
        <f t="shared" si="104"/>
        <v>-85.96954707227907</v>
      </c>
      <c r="DQ58" s="251">
        <f t="shared" si="105"/>
        <v>-51.494729355517912</v>
      </c>
      <c r="DR58" s="259">
        <f t="shared" si="106"/>
        <v>-77.139213472898703</v>
      </c>
      <c r="DS58" s="253">
        <f t="shared" si="107"/>
        <v>-38.597774404539571</v>
      </c>
      <c r="DT58" s="261">
        <f t="shared" si="176"/>
        <v>-88.903504612337628</v>
      </c>
      <c r="DU58" s="253">
        <f t="shared" si="108"/>
        <v>-46.559787822564488</v>
      </c>
      <c r="DV58" s="93">
        <f t="shared" si="109"/>
        <v>-86.00793661355803</v>
      </c>
      <c r="DW58" s="251">
        <f t="shared" si="110"/>
        <v>-51.713022929482747</v>
      </c>
      <c r="DX58" s="93">
        <f t="shared" si="111"/>
        <v>-77.177603014177663</v>
      </c>
    </row>
    <row r="59" spans="1:128" ht="15.75" thickBot="1" x14ac:dyDescent="0.3">
      <c r="A59" s="204" t="s">
        <v>435</v>
      </c>
      <c r="B59" s="12">
        <f>IF(AND(Vout4&lt;&gt;0,Iout4&lt;&gt;0,Ns4_Flyback&lt;&gt;0),ABS(Vout4)+((Ns4_Flyback/Np)*VinMax),0)</f>
        <v>0</v>
      </c>
      <c r="C59" s="204" t="s">
        <v>5</v>
      </c>
      <c r="DA59" s="22">
        <v>2000000</v>
      </c>
      <c r="DB59" s="22">
        <f t="shared" si="93"/>
        <v>12566370.614359172</v>
      </c>
      <c r="DC59" s="254">
        <f t="shared" si="94"/>
        <v>-18.870138256643337</v>
      </c>
      <c r="DD59" s="108">
        <f t="shared" si="112"/>
        <v>179.80531135601905</v>
      </c>
      <c r="DE59" s="254">
        <f t="shared" si="113"/>
        <v>-26.837667609371529</v>
      </c>
      <c r="DF59" s="108">
        <f t="shared" si="114"/>
        <v>-178.74608102256315</v>
      </c>
      <c r="DG59" s="252">
        <f t="shared" si="115"/>
        <v>-32.089848475352426</v>
      </c>
      <c r="DH59" s="108">
        <f t="shared" si="116"/>
        <v>-174.28634902925589</v>
      </c>
      <c r="DI59" s="104">
        <f t="shared" si="100"/>
        <v>-25.529562628151957</v>
      </c>
      <c r="DJ59" s="252">
        <f t="shared" si="101"/>
        <v>90.762098963939309</v>
      </c>
      <c r="DK59" s="92">
        <f t="shared" si="173"/>
        <v>-25.747970751302066</v>
      </c>
      <c r="DL59" s="93">
        <f t="shared" si="174"/>
        <v>90.742894241497396</v>
      </c>
      <c r="DM59" s="254">
        <f t="shared" si="102"/>
        <v>-44.399700884795294</v>
      </c>
      <c r="DN59" s="262">
        <f t="shared" si="175"/>
        <v>-89.432589680041644</v>
      </c>
      <c r="DO59" s="254">
        <f t="shared" si="103"/>
        <v>-52.367230237523486</v>
      </c>
      <c r="DP59" s="260">
        <f t="shared" si="104"/>
        <v>-87.983982058623837</v>
      </c>
      <c r="DQ59" s="252">
        <f t="shared" si="105"/>
        <v>-57.619411103504383</v>
      </c>
      <c r="DR59" s="260">
        <f t="shared" si="106"/>
        <v>-83.524250065316579</v>
      </c>
      <c r="DS59" s="254">
        <f t="shared" si="107"/>
        <v>-44.618109007945407</v>
      </c>
      <c r="DT59" s="261">
        <f t="shared" si="176"/>
        <v>-89.451794402483543</v>
      </c>
      <c r="DU59" s="254">
        <f t="shared" si="108"/>
        <v>-52.585638360673599</v>
      </c>
      <c r="DV59" s="108">
        <f t="shared" si="109"/>
        <v>-88.00318678106575</v>
      </c>
      <c r="DW59" s="252">
        <f t="shared" si="110"/>
        <v>-57.837819226654489</v>
      </c>
      <c r="DX59" s="108">
        <f t="shared" si="111"/>
        <v>-83.543454787758492</v>
      </c>
    </row>
    <row r="60" spans="1:128" ht="15" x14ac:dyDescent="0.25">
      <c r="A60" s="204" t="s">
        <v>436</v>
      </c>
      <c r="B60" s="12">
        <f>IF(AND(Vout5&lt;&gt;0,Iout5&lt;&gt;0,Ns5_Flyback&lt;&gt;0),ABS(Vout5)+((Ns5_Flyback/Np)*VinMax),0)</f>
        <v>0</v>
      </c>
      <c r="C60" s="204" t="s">
        <v>5</v>
      </c>
    </row>
    <row r="61" spans="1:128" ht="15" x14ac:dyDescent="0.25">
      <c r="A61" s="204" t="s">
        <v>437</v>
      </c>
      <c r="B61" s="12">
        <f>IF(AND(Vout6&lt;&gt;0,Iout6&lt;&gt;0,Ns6_Flyback&lt;&gt;0),ABS(Vout6)+((Ns6_Flyback/Np)*VinMax),0)</f>
        <v>0</v>
      </c>
      <c r="C61" s="204" t="s">
        <v>5</v>
      </c>
    </row>
    <row r="62" spans="1:128" ht="15" x14ac:dyDescent="0.25">
      <c r="A62" s="204" t="s">
        <v>438</v>
      </c>
      <c r="B62" s="12">
        <f>IF(AND(VOUTAUX&lt;&gt;0,IoutAux&lt;&gt;0,NsAux_Flyback&lt;&gt;0),ABS(VOUTAUX)+((NsAux_Flyback/Np)*VinMax),0)</f>
        <v>0</v>
      </c>
      <c r="C62" s="204" t="s">
        <v>5</v>
      </c>
    </row>
    <row r="63" spans="1:128" ht="15" x14ac:dyDescent="0.25">
      <c r="A63" s="214" t="s">
        <v>440</v>
      </c>
      <c r="B63" s="12"/>
      <c r="C63" s="12"/>
    </row>
    <row r="64" spans="1:128" ht="15" x14ac:dyDescent="0.25">
      <c r="A64" s="214" t="s">
        <v>441</v>
      </c>
      <c r="B64" s="12"/>
      <c r="C64" s="12"/>
    </row>
    <row r="65" spans="1:3" ht="15" x14ac:dyDescent="0.25">
      <c r="A65" s="542" t="s">
        <v>469</v>
      </c>
      <c r="B65" s="543"/>
      <c r="C65" s="543"/>
    </row>
    <row r="66" spans="1:3" ht="15" x14ac:dyDescent="0.25">
      <c r="A66" s="214" t="s">
        <v>470</v>
      </c>
      <c r="B66" s="12">
        <f>'Flyback CCM'!B80</f>
        <v>64</v>
      </c>
      <c r="C66" s="12" t="s">
        <v>5</v>
      </c>
    </row>
    <row r="67" spans="1:3" x14ac:dyDescent="0.55000000000000004">
      <c r="A67" s="214" t="s">
        <v>473</v>
      </c>
      <c r="B67" s="6">
        <f>2*(Vclamp_Flyback_CCM-VinMin)*((Vclamp_Flyback_CCM-VinMin)-(ABS(Vout1)*(Np/Ns1_Flyback)))/(LL_Flyback_CCM*(ILpeak_Max_FlyB_CCM^2)*Fsw)</f>
        <v>4622.8813101181231</v>
      </c>
      <c r="C67" s="215" t="s">
        <v>246</v>
      </c>
    </row>
    <row r="68" spans="1:3" x14ac:dyDescent="0.55000000000000004">
      <c r="A68" s="214" t="s">
        <v>472</v>
      </c>
      <c r="B68" s="12">
        <f>'Flyback CCM'!B83*1000</f>
        <v>1000</v>
      </c>
      <c r="C68" s="215" t="s">
        <v>246</v>
      </c>
    </row>
    <row r="69" spans="1:3" ht="15" x14ac:dyDescent="0.25">
      <c r="A69" s="214" t="s">
        <v>475</v>
      </c>
      <c r="B69" s="12">
        <f>'Flyback CCM'!B81/1000</f>
        <v>0.05</v>
      </c>
      <c r="C69" s="239" t="s">
        <v>5</v>
      </c>
    </row>
    <row r="70" spans="1:3" ht="15" x14ac:dyDescent="0.25">
      <c r="A70" s="214" t="s">
        <v>471</v>
      </c>
      <c r="B70" s="12">
        <f>(Vclamp_Flyback_CCM-VinMin)/(B69*Fsw*B68)</f>
        <v>4.2666666666666668E-6</v>
      </c>
      <c r="C70" s="215" t="s">
        <v>343</v>
      </c>
    </row>
    <row r="71" spans="1:3" ht="15" x14ac:dyDescent="0.25">
      <c r="A71" s="214" t="s">
        <v>477</v>
      </c>
      <c r="B71" s="176">
        <f>'Flyback CCM'!B85*(10^-6)</f>
        <v>3.3000000000000002E-7</v>
      </c>
      <c r="C71" s="215" t="s">
        <v>343</v>
      </c>
    </row>
    <row r="72" spans="1:3" ht="15" x14ac:dyDescent="0.25">
      <c r="A72" s="214" t="s">
        <v>476</v>
      </c>
      <c r="B72" s="176">
        <f>(Vclamp_Flyback_CCM-VinMin)/(B71*Fsw*B68)</f>
        <v>0.64646464646464652</v>
      </c>
      <c r="C72" s="239" t="s">
        <v>5</v>
      </c>
    </row>
    <row r="73" spans="1:3" ht="15" x14ac:dyDescent="0.25">
      <c r="A73" s="544" t="s">
        <v>615</v>
      </c>
      <c r="B73" s="544"/>
      <c r="C73" s="544"/>
    </row>
    <row r="74" spans="1:3" ht="15" x14ac:dyDescent="0.25">
      <c r="A74" s="222" t="s">
        <v>518</v>
      </c>
      <c r="B74">
        <f>IF('Flyback CCM'!B40="LM5020",5,IF('Flyback CCM'!B40="LM5021",6,IF('Flyback CCM'!B40="LM5022",7,IF('Flyback CCM'!B40="LM5001",8,IF('Flyback CCM'!B40="LM3481",9,5)))))</f>
        <v>7</v>
      </c>
    </row>
    <row r="75" spans="1:3" ht="15" x14ac:dyDescent="0.25">
      <c r="A75" s="222" t="s">
        <v>518</v>
      </c>
      <c r="B75" s="202" t="str">
        <f>VLOOKUP(B74,Parts!A4:BE12,2,FALSE)</f>
        <v>LM5022</v>
      </c>
    </row>
    <row r="76" spans="1:3" ht="15" x14ac:dyDescent="0.25">
      <c r="A76" s="214" t="s">
        <v>0</v>
      </c>
      <c r="B76" s="12">
        <f>VLOOKUP(B74,Parts!A4:BE12,4,FALSE)</f>
        <v>6</v>
      </c>
      <c r="C76" s="12"/>
    </row>
    <row r="77" spans="1:3" ht="15" x14ac:dyDescent="0.25">
      <c r="A77" s="214" t="s">
        <v>2</v>
      </c>
      <c r="B77" s="12">
        <f>VLOOKUP(B74,Parts!A4:BE12,5,FALSE)</f>
        <v>65</v>
      </c>
      <c r="C77" s="12"/>
    </row>
    <row r="78" spans="1:3" ht="15" x14ac:dyDescent="0.25">
      <c r="A78" s="214" t="s">
        <v>541</v>
      </c>
      <c r="B78" s="12">
        <f>VLOOKUP(B74,Parts!A4:BE12,12,FALSE)</f>
        <v>0</v>
      </c>
      <c r="C78" s="12"/>
    </row>
    <row r="79" spans="1:3" ht="15" x14ac:dyDescent="0.25">
      <c r="A79" s="214" t="s">
        <v>542</v>
      </c>
      <c r="B79" s="12">
        <f>VLOOKUP(B74,Parts!A4:BE12,8,FALSE)</f>
        <v>1.25</v>
      </c>
      <c r="C79" s="12"/>
    </row>
    <row r="80" spans="1:3" ht="15" x14ac:dyDescent="0.25">
      <c r="A80" s="214" t="s">
        <v>543</v>
      </c>
      <c r="B80" s="12">
        <f>VLOOKUP(B74,Parts!A4:BE12,18,FALSE)</f>
        <v>7</v>
      </c>
      <c r="C80" s="12"/>
    </row>
    <row r="81" spans="1:5" ht="15" x14ac:dyDescent="0.25">
      <c r="A81" s="214" t="s">
        <v>649</v>
      </c>
      <c r="B81" s="12">
        <f>VLOOKUP(B74,Parts!A4:BE12,44,FALSE)</f>
        <v>0.105</v>
      </c>
      <c r="C81" s="12" t="s">
        <v>5</v>
      </c>
    </row>
    <row r="82" spans="1:5" ht="15" x14ac:dyDescent="0.25">
      <c r="A82" s="214" t="s">
        <v>658</v>
      </c>
      <c r="B82" s="12">
        <f>VLOOKUP(B74,Parts!A4:BE12,25,FALSE)</f>
        <v>0.08</v>
      </c>
      <c r="C82" s="12"/>
    </row>
    <row r="83" spans="1:5" ht="15" x14ac:dyDescent="0.25">
      <c r="A83" s="214" t="s">
        <v>656</v>
      </c>
      <c r="B83" s="12">
        <f>VLOOKUP(B74,Parts!A4:BF12,58,FALSE)</f>
        <v>1</v>
      </c>
      <c r="C83" s="12"/>
    </row>
    <row r="84" spans="1:5" ht="15" x14ac:dyDescent="0.25">
      <c r="A84" s="214" t="s">
        <v>657</v>
      </c>
      <c r="B84" s="12">
        <f>B82*B83</f>
        <v>0.08</v>
      </c>
      <c r="C84" s="12"/>
    </row>
    <row r="85" spans="1:5" ht="15" x14ac:dyDescent="0.25">
      <c r="A85" s="214" t="s">
        <v>667</v>
      </c>
      <c r="B85" s="12">
        <f>IF(B74&lt;&gt;8,3,1)</f>
        <v>3</v>
      </c>
      <c r="C85" s="12"/>
    </row>
    <row r="86" spans="1:5" ht="15" x14ac:dyDescent="0.25">
      <c r="A86" s="214" t="s">
        <v>544</v>
      </c>
      <c r="B86" s="12" t="str">
        <f>VLOOKUP(B74,Parts!A4:BE12,20,FALSE)</f>
        <v>-</v>
      </c>
      <c r="C86" s="12"/>
      <c r="E86" s="22"/>
    </row>
    <row r="87" spans="1:5" ht="15" x14ac:dyDescent="0.25">
      <c r="A87" s="214" t="s">
        <v>584</v>
      </c>
      <c r="B87" s="12" t="str">
        <f>VLOOKUP(B74,Parts!A4:BE12,21,FALSE)</f>
        <v>-</v>
      </c>
      <c r="C87" s="12"/>
    </row>
    <row r="88" spans="1:5" ht="15" x14ac:dyDescent="0.25">
      <c r="A88" s="214" t="s">
        <v>545</v>
      </c>
      <c r="B88" s="12">
        <f>VLOOKUP(B74,Parts!A4:BE12,22,FALSE)</f>
        <v>3.8E-3</v>
      </c>
      <c r="C88" s="12"/>
    </row>
    <row r="89" spans="1:5" ht="15" x14ac:dyDescent="0.25">
      <c r="A89" s="214" t="s">
        <v>583</v>
      </c>
      <c r="B89" s="12">
        <f>VLOOKUP(B74,Parts!A4:BE12,23,FALSE)</f>
        <v>4.8E-8</v>
      </c>
      <c r="C89" s="12"/>
    </row>
    <row r="90" spans="1:5" ht="15" x14ac:dyDescent="0.25">
      <c r="A90" s="214" t="s">
        <v>717</v>
      </c>
      <c r="B90" s="12">
        <f>VLOOKUP(B74,Parts!A4:BH16,26,FALSE)</f>
        <v>0.5</v>
      </c>
      <c r="C90" s="12" t="s">
        <v>5</v>
      </c>
    </row>
    <row r="91" spans="1:5" ht="15" x14ac:dyDescent="0.25">
      <c r="A91" s="214" t="s">
        <v>566</v>
      </c>
      <c r="B91" s="12" t="str">
        <f>VLOOKUP(B74,Parts!A4:BE12,27,FALSE)</f>
        <v>-</v>
      </c>
      <c r="C91" s="12"/>
    </row>
    <row r="92" spans="1:5" ht="15" x14ac:dyDescent="0.25">
      <c r="A92" s="214" t="s">
        <v>723</v>
      </c>
      <c r="B92" s="12">
        <f>VLOOKUP(B74,Parts!A4:BH16,60,FALSE)</f>
        <v>5</v>
      </c>
      <c r="C92" s="12" t="s">
        <v>5</v>
      </c>
    </row>
    <row r="93" spans="1:5" x14ac:dyDescent="0.55000000000000004">
      <c r="A93" s="214" t="s">
        <v>724</v>
      </c>
      <c r="B93" s="12">
        <f>VLOOKUP(B74,Parts!A4:BE12,38,FALSE)</f>
        <v>5000</v>
      </c>
      <c r="C93" s="215" t="s">
        <v>246</v>
      </c>
    </row>
    <row r="94" spans="1:5" ht="15" x14ac:dyDescent="0.25">
      <c r="A94" s="214" t="s">
        <v>901</v>
      </c>
      <c r="B94" s="12">
        <f>VLOOKUP(B74,Parts!A4:BK16,62,FALSE)</f>
        <v>22</v>
      </c>
      <c r="C94" s="215" t="s">
        <v>897</v>
      </c>
    </row>
    <row r="95" spans="1:5" ht="15" x14ac:dyDescent="0.25">
      <c r="A95" s="214" t="s">
        <v>900</v>
      </c>
      <c r="B95" s="12">
        <f>VLOOKUP(B74,Parts!A4:BK16,63,FALSE)</f>
        <v>4.4825000000000008</v>
      </c>
      <c r="C95" s="215" t="s">
        <v>896</v>
      </c>
    </row>
    <row r="96" spans="1:5" ht="15" x14ac:dyDescent="0.25">
      <c r="A96" s="214" t="s">
        <v>902</v>
      </c>
      <c r="B96" s="12">
        <f>VLOOKUP(B74,Parts!A4:BK16,57,FALSE)</f>
        <v>19</v>
      </c>
      <c r="C96" s="215" t="s">
        <v>897</v>
      </c>
    </row>
    <row r="97" spans="1:3" ht="15" x14ac:dyDescent="0.25">
      <c r="A97" s="214" t="s">
        <v>903</v>
      </c>
      <c r="B97" s="12">
        <f>VLOOKUP(B74,Parts!A4:BK16,61,FALSE)</f>
        <v>4.2625000000000002</v>
      </c>
      <c r="C97" s="215" t="s">
        <v>896</v>
      </c>
    </row>
    <row r="98" spans="1:3" ht="15" x14ac:dyDescent="0.25">
      <c r="A98" s="214" t="s">
        <v>582</v>
      </c>
      <c r="B98" s="12"/>
      <c r="C98" s="12"/>
    </row>
    <row r="99" spans="1:3" ht="15" x14ac:dyDescent="0.25">
      <c r="A99" s="214" t="s">
        <v>582</v>
      </c>
      <c r="B99" s="12"/>
      <c r="C99" s="12"/>
    </row>
    <row r="100" spans="1:3" ht="15" x14ac:dyDescent="0.25">
      <c r="A100" s="214" t="s">
        <v>574</v>
      </c>
      <c r="B100" s="12">
        <f>'Flyback CCM'!B27/1000</f>
        <v>7.0000000000000007E-2</v>
      </c>
      <c r="C100" s="12"/>
    </row>
    <row r="101" spans="1:3" ht="15" x14ac:dyDescent="0.25">
      <c r="A101" s="214" t="s">
        <v>575</v>
      </c>
      <c r="B101" s="12">
        <f>'Flyback CCM'!G16/1000</f>
        <v>0.01</v>
      </c>
      <c r="C101" s="12"/>
    </row>
    <row r="102" spans="1:3" ht="15" x14ac:dyDescent="0.25">
      <c r="A102" s="214" t="s">
        <v>576</v>
      </c>
      <c r="B102" s="12">
        <f>'Flyback CCM'!G17/1000</f>
        <v>0.01</v>
      </c>
      <c r="C102" s="12"/>
    </row>
    <row r="103" spans="1:3" ht="15" x14ac:dyDescent="0.25">
      <c r="A103" s="214" t="s">
        <v>577</v>
      </c>
      <c r="B103" s="12">
        <f>'Flyback CCM'!G18/1000</f>
        <v>0</v>
      </c>
      <c r="C103" s="12"/>
    </row>
    <row r="104" spans="1:3" ht="15" x14ac:dyDescent="0.25">
      <c r="A104" s="214" t="s">
        <v>578</v>
      </c>
      <c r="B104" s="12">
        <f>'Flyback CCM'!G19/1000</f>
        <v>0</v>
      </c>
      <c r="C104" s="12"/>
    </row>
    <row r="105" spans="1:3" ht="15" x14ac:dyDescent="0.25">
      <c r="A105" s="214" t="s">
        <v>579</v>
      </c>
      <c r="B105" s="12">
        <f>'Flyback CCM'!G20/1000</f>
        <v>0</v>
      </c>
      <c r="C105" s="12"/>
    </row>
    <row r="106" spans="1:3" ht="15" x14ac:dyDescent="0.25">
      <c r="A106" s="214" t="s">
        <v>580</v>
      </c>
      <c r="B106" s="12">
        <f>'Flyback CCM'!G21/1000</f>
        <v>0</v>
      </c>
      <c r="C106" s="12"/>
    </row>
    <row r="107" spans="1:3" ht="15.75" thickBot="1" x14ac:dyDescent="0.3">
      <c r="A107" s="442" t="s">
        <v>618</v>
      </c>
      <c r="B107" s="443">
        <f>'Flyback CCM'!G22/1000</f>
        <v>0.01</v>
      </c>
      <c r="C107" s="443"/>
    </row>
    <row r="108" spans="1:3" ht="15" x14ac:dyDescent="0.25">
      <c r="A108" s="515" t="s">
        <v>639</v>
      </c>
      <c r="B108" s="516"/>
      <c r="C108" s="517"/>
    </row>
    <row r="109" spans="1:3" ht="15" x14ac:dyDescent="0.25">
      <c r="A109" s="449" t="s">
        <v>729</v>
      </c>
      <c r="B109" s="440">
        <f>((ABS(Vout1)*B84/(Np/Ns1_Flyback))/((Lm_Flyback_CCM/((Np/Ns1_Flyback)^2))*Fsw))+B81</f>
        <v>0.17166666666666669</v>
      </c>
      <c r="C109" s="450" t="s">
        <v>5</v>
      </c>
    </row>
    <row r="110" spans="1:3" ht="15" x14ac:dyDescent="0.25">
      <c r="A110" s="446" t="s">
        <v>646</v>
      </c>
      <c r="B110" s="39">
        <f>(((VinMin/(Np/Ns1_Flyback))+ABS(Vout1))/(B109))</f>
        <v>100.48543689320387</v>
      </c>
      <c r="C110" s="29"/>
    </row>
    <row r="111" spans="1:3" ht="15" x14ac:dyDescent="0.25">
      <c r="A111" s="446" t="s">
        <v>647</v>
      </c>
      <c r="B111" s="39">
        <f>(((VinNom/(Np/Ns1_Flyback))+ABS(Vout1))/(B109))</f>
        <v>139.80582524271844</v>
      </c>
      <c r="C111" s="29"/>
    </row>
    <row r="112" spans="1:3" ht="15" x14ac:dyDescent="0.25">
      <c r="A112" s="446" t="s">
        <v>648</v>
      </c>
      <c r="B112" s="39">
        <f>(((VinMax/(Np/Ns1_Flyback))+ABS(Vout1))/(B109))</f>
        <v>218.44660194174753</v>
      </c>
      <c r="C112" s="29"/>
    </row>
    <row r="113" spans="1:14" ht="15" x14ac:dyDescent="0.25">
      <c r="A113" s="446" t="s">
        <v>650</v>
      </c>
      <c r="B113" s="39">
        <f>(1+F17)/(COUT1_FlyB_CCM*(ABS(Vout1)/Iout1))</f>
        <v>189.07018907018909</v>
      </c>
      <c r="C113" s="29"/>
      <c r="D113" s="22">
        <f>B113/(2*PI())</f>
        <v>30.091455181839837</v>
      </c>
      <c r="E113" t="s">
        <v>683</v>
      </c>
    </row>
    <row r="114" spans="1:14" ht="15" x14ac:dyDescent="0.25">
      <c r="A114" s="446" t="s">
        <v>651</v>
      </c>
      <c r="B114" s="39">
        <f>(1+F18)/(COUT1_FlyB_CCM*(ABS(Vout1)/Iout1))</f>
        <v>164.60905349794243</v>
      </c>
      <c r="C114" s="29"/>
      <c r="D114" s="22">
        <f t="shared" ref="D114:D122" si="177">B114/(2*PI())</f>
        <v>26.198344541875784</v>
      </c>
      <c r="E114" t="s">
        <v>683</v>
      </c>
    </row>
    <row r="115" spans="1:14" ht="15" x14ac:dyDescent="0.25">
      <c r="A115" s="446" t="s">
        <v>652</v>
      </c>
      <c r="B115" s="39">
        <f>(1+F19)/(COUT1_FlyB_CCM*(ABS(Vout1)/Iout1))</f>
        <v>141.89514189514193</v>
      </c>
      <c r="C115" s="29"/>
      <c r="D115" s="22">
        <f t="shared" si="177"/>
        <v>22.58331323333773</v>
      </c>
      <c r="E115" t="s">
        <v>683</v>
      </c>
    </row>
    <row r="116" spans="1:14" ht="15" x14ac:dyDescent="0.25">
      <c r="A116" s="446" t="s">
        <v>653</v>
      </c>
      <c r="B116" s="39">
        <f>(B110*(B84/(Np/Ns1_Flyback)))/(Lm_Flyback_CCM/((Np/Ns1_Flyback)^2))</f>
        <v>133980.58252427186</v>
      </c>
      <c r="C116" s="29"/>
      <c r="D116" s="22">
        <f t="shared" si="177"/>
        <v>21323.671987069476</v>
      </c>
      <c r="E116" t="s">
        <v>683</v>
      </c>
    </row>
    <row r="117" spans="1:14" ht="15" x14ac:dyDescent="0.25">
      <c r="A117" s="446" t="s">
        <v>654</v>
      </c>
      <c r="B117" s="39">
        <f>(B111*(B84/(Np/Ns1_Flyback)))/(Lm_Flyback_CCM/((Np/Ns1_Flyback)^2))</f>
        <v>186407.76699029127</v>
      </c>
      <c r="C117" s="29"/>
      <c r="D117" s="22">
        <f t="shared" si="177"/>
        <v>29667.717547227094</v>
      </c>
      <c r="E117" t="s">
        <v>683</v>
      </c>
    </row>
    <row r="118" spans="1:14" ht="15" x14ac:dyDescent="0.25">
      <c r="A118" s="446" t="s">
        <v>655</v>
      </c>
      <c r="B118" s="39">
        <f>(B112*(B84/(Np/Ns1_Flyback)))/(Lm_Flyback_CCM/((Np/Ns1_Flyback)^2))</f>
        <v>291262.13592233008</v>
      </c>
      <c r="C118" s="29"/>
      <c r="D118" s="22">
        <f t="shared" si="177"/>
        <v>46355.808667542333</v>
      </c>
      <c r="E118" t="s">
        <v>683</v>
      </c>
    </row>
    <row r="119" spans="1:14" ht="15" x14ac:dyDescent="0.25">
      <c r="A119" s="446" t="s">
        <v>660</v>
      </c>
      <c r="B119" s="39">
        <f>1/(('Flyback CCM'!B138/(10^6))*('Flyback CCM'!B139/1000))</f>
        <v>202020.20202020201</v>
      </c>
      <c r="C119" s="29"/>
      <c r="D119" s="22">
        <f t="shared" si="177"/>
        <v>32152.513755938449</v>
      </c>
      <c r="E119" t="s">
        <v>683</v>
      </c>
    </row>
    <row r="120" spans="1:14" ht="15" x14ac:dyDescent="0.25">
      <c r="A120" s="446" t="s">
        <v>661</v>
      </c>
      <c r="B120" s="39">
        <f>((ABS(Vout1)/Iout1)*((1-F17)^2))/((Lm_Flyback_CCM*F17)/((Np/Ns1_Flyback)^2))</f>
        <v>25138.260432378076</v>
      </c>
      <c r="C120" s="29"/>
      <c r="D120" s="22">
        <f t="shared" si="177"/>
        <v>4000.8784085443772</v>
      </c>
      <c r="E120" t="s">
        <v>683</v>
      </c>
    </row>
    <row r="121" spans="1:14" ht="15" x14ac:dyDescent="0.25">
      <c r="A121" s="446" t="s">
        <v>662</v>
      </c>
      <c r="B121" s="39">
        <f>((ABS(Vout1)/Iout1)*((1-F18)^2))/((Lm_Flyback_CCM*F18)/((Np/Ns1_Flyback)^2))</f>
        <v>290486.56499636889</v>
      </c>
      <c r="C121" s="29"/>
      <c r="D121" s="22">
        <f t="shared" si="177"/>
        <v>46232.372720957246</v>
      </c>
      <c r="E121" t="s">
        <v>683</v>
      </c>
    </row>
    <row r="122" spans="1:14" ht="15" x14ac:dyDescent="0.25">
      <c r="A122" s="446" t="s">
        <v>663</v>
      </c>
      <c r="B122" s="39">
        <f>((ABS(Vout1)/Iout1)*((1-F19)^2))/((Lm_Flyback_CCM*F19)/((Np/Ns1_Flyback)^2))</f>
        <v>1167133.5200746958</v>
      </c>
      <c r="C122" s="29"/>
      <c r="D122" s="22">
        <f t="shared" si="177"/>
        <v>185755.0689681317</v>
      </c>
      <c r="E122" t="s">
        <v>683</v>
      </c>
    </row>
    <row r="123" spans="1:14" ht="15" x14ac:dyDescent="0.25">
      <c r="A123" s="446" t="s">
        <v>666</v>
      </c>
      <c r="B123" s="12">
        <f>(ABS(Vout1)*(1-F17))/(Iout1*(1+F17)*B85*(B84/(Np/Ns1_Flyback)))</f>
        <v>22.831050228310499</v>
      </c>
      <c r="C123" s="29"/>
      <c r="D123" s="22"/>
    </row>
    <row r="124" spans="1:14" ht="15" x14ac:dyDescent="0.25">
      <c r="A124" s="446" t="s">
        <v>664</v>
      </c>
      <c r="B124" s="12">
        <f>(ABS(Vout1)*(1-F18))/(Iout1*(1+F18)*B85*(B84/(Np/Ns1_Flyback)))</f>
        <v>75.757575757575736</v>
      </c>
      <c r="C124" s="29"/>
      <c r="D124" s="22"/>
    </row>
    <row r="125" spans="1:14" ht="15" x14ac:dyDescent="0.25">
      <c r="A125" s="446" t="s">
        <v>665</v>
      </c>
      <c r="B125" s="12">
        <f>(ABS(Vout1)*(1-F19))/(Iout1*(1+F19)*B85*(B84/(Np/Ns1_Flyback)))</f>
        <v>141.24293785310729</v>
      </c>
      <c r="C125" s="29"/>
      <c r="D125" s="22"/>
    </row>
    <row r="126" spans="1:14" ht="15" x14ac:dyDescent="0.25">
      <c r="A126" s="545" t="s">
        <v>983</v>
      </c>
      <c r="B126" s="546"/>
      <c r="C126" s="547"/>
      <c r="D126" s="22"/>
    </row>
    <row r="127" spans="1:14" ht="15" x14ac:dyDescent="0.25">
      <c r="A127" s="446" t="s">
        <v>973</v>
      </c>
      <c r="B127" s="12">
        <f>'Flyback CCM'!B164*1000</f>
        <v>10000</v>
      </c>
      <c r="C127" s="29" t="s">
        <v>683</v>
      </c>
      <c r="D127" s="22"/>
    </row>
    <row r="128" spans="1:14" ht="15" x14ac:dyDescent="0.25">
      <c r="A128" s="446" t="s">
        <v>684</v>
      </c>
      <c r="B128" s="39">
        <f>$B$123*IMABS(IMDIV(IMPRODUCT(COMPLEX(1,-(2*PI()*1000*'Flyback CCM'!B164)/$B$120),COMPLEX(1,(2*PI()*1000*'Flyback CCM'!B164)/$B$119)),IMPRODUCT(COMPLEX(1,(2*PI()*1000*'Flyback CCM'!B164)/$B$113),COMPLEX(1,(2*PI()*1000*'Flyback CCM'!B164)/$B$116))))</f>
        <v>0.17536280118171729</v>
      </c>
      <c r="C128" s="29" t="s">
        <v>971</v>
      </c>
      <c r="D128" s="22">
        <f>20*LOG(B128)</f>
        <v>-15.121250517558851</v>
      </c>
      <c r="N128" s="22"/>
    </row>
    <row r="129" spans="1:4" ht="15" x14ac:dyDescent="0.25">
      <c r="A129" s="446" t="s">
        <v>686</v>
      </c>
      <c r="B129" s="12">
        <f>'Flyback CCM'!B166*1000</f>
        <v>70</v>
      </c>
      <c r="C129" s="29" t="s">
        <v>683</v>
      </c>
      <c r="D129" s="22"/>
    </row>
    <row r="130" spans="1:4" ht="15.75" thickBot="1" x14ac:dyDescent="0.3">
      <c r="A130" s="447" t="s">
        <v>680</v>
      </c>
      <c r="B130" s="31">
        <f>'Flyback CCM'!B168*1000</f>
        <v>27000</v>
      </c>
      <c r="C130" s="32" t="s">
        <v>683</v>
      </c>
      <c r="D130" s="22"/>
    </row>
    <row r="131" spans="1:4" ht="15" x14ac:dyDescent="0.25">
      <c r="A131" s="548" t="s">
        <v>735</v>
      </c>
      <c r="B131" s="549"/>
      <c r="C131" s="550"/>
    </row>
    <row r="132" spans="1:4" x14ac:dyDescent="0.55000000000000004">
      <c r="A132" s="444" t="s">
        <v>974</v>
      </c>
      <c r="B132" s="438">
        <f>'Flyback CCM'!$B$182*1000</f>
        <v>10000</v>
      </c>
      <c r="C132" s="445" t="s">
        <v>246</v>
      </c>
    </row>
    <row r="133" spans="1:4" ht="15" x14ac:dyDescent="0.25">
      <c r="A133" s="444" t="s">
        <v>969</v>
      </c>
      <c r="B133" s="438">
        <f>'Flyback CCM'!B179</f>
        <v>1.5</v>
      </c>
      <c r="C133" s="445" t="s">
        <v>508</v>
      </c>
    </row>
    <row r="134" spans="1:4" x14ac:dyDescent="0.55000000000000004">
      <c r="A134" s="444" t="s">
        <v>970</v>
      </c>
      <c r="B134" s="438">
        <f>B93</f>
        <v>5000</v>
      </c>
      <c r="C134" s="445" t="s">
        <v>246</v>
      </c>
    </row>
    <row r="135" spans="1:4" ht="15" x14ac:dyDescent="0.25">
      <c r="A135" s="444" t="s">
        <v>975</v>
      </c>
      <c r="B135" s="438">
        <f>'Flyback CCM'!B177</f>
        <v>1.25</v>
      </c>
      <c r="C135" s="445" t="s">
        <v>5</v>
      </c>
    </row>
    <row r="136" spans="1:4" ht="15" x14ac:dyDescent="0.25">
      <c r="A136" s="444" t="s">
        <v>976</v>
      </c>
      <c r="B136" s="438">
        <f>'Flyback CCM'!B180</f>
        <v>1</v>
      </c>
      <c r="C136" s="445" t="s">
        <v>5</v>
      </c>
    </row>
    <row r="137" spans="1:4" x14ac:dyDescent="0.55000000000000004">
      <c r="A137" s="444" t="s">
        <v>963</v>
      </c>
      <c r="B137" s="438">
        <f>((Vout1-B135-B136)/(B92))*(B133*B93)</f>
        <v>19125</v>
      </c>
      <c r="C137" s="445" t="s">
        <v>246</v>
      </c>
    </row>
    <row r="138" spans="1:4" x14ac:dyDescent="0.55000000000000004">
      <c r="A138" s="444" t="s">
        <v>972</v>
      </c>
      <c r="B138" s="441">
        <f>(B128*B133*B129*B93*SQRT((1+((B127/B129)^2))/(1+((B127/B130)^2))))/(B127)</f>
        <v>1233.3770877671384</v>
      </c>
      <c r="C138" s="445" t="s">
        <v>246</v>
      </c>
    </row>
    <row r="139" spans="1:4" x14ac:dyDescent="0.55000000000000004">
      <c r="A139" s="444" t="s">
        <v>968</v>
      </c>
      <c r="B139" s="438">
        <f>'Flyback CCM'!$B$188*1000</f>
        <v>1890</v>
      </c>
      <c r="C139" s="445" t="s">
        <v>246</v>
      </c>
    </row>
    <row r="140" spans="1:4" ht="15" x14ac:dyDescent="0.25">
      <c r="A140" s="444" t="s">
        <v>994</v>
      </c>
      <c r="B140" s="438"/>
      <c r="C140" s="445"/>
    </row>
    <row r="141" spans="1:4" ht="15" x14ac:dyDescent="0.25">
      <c r="A141" s="444" t="s">
        <v>995</v>
      </c>
      <c r="B141" s="438">
        <f>'Flyback CCM'!B190*(10^-9)</f>
        <v>2.2000000000000001E-7</v>
      </c>
      <c r="C141" s="445" t="s">
        <v>343</v>
      </c>
    </row>
    <row r="142" spans="1:4" ht="15" x14ac:dyDescent="0.25">
      <c r="A142" s="444" t="s">
        <v>996</v>
      </c>
      <c r="B142" s="438">
        <f>1/(2*PI()*B129*B132)</f>
        <v>2.2736420441699336E-7</v>
      </c>
      <c r="C142" s="445" t="s">
        <v>343</v>
      </c>
    </row>
    <row r="143" spans="1:4" ht="15" x14ac:dyDescent="0.25">
      <c r="A143" s="444" t="s">
        <v>997</v>
      </c>
      <c r="B143" s="438">
        <f>'Flyback CCM'!B192*(10^-9)</f>
        <v>1.2240000000000001E-9</v>
      </c>
      <c r="C143" s="445" t="s">
        <v>343</v>
      </c>
    </row>
    <row r="144" spans="1:4" ht="15" x14ac:dyDescent="0.25">
      <c r="A144" s="446" t="s">
        <v>681</v>
      </c>
      <c r="B144" s="12">
        <f>'Flyback CCM'!B194*1000*2*PI()</f>
        <v>163398.69281045749</v>
      </c>
      <c r="C144" s="29" t="s">
        <v>759</v>
      </c>
    </row>
    <row r="145" spans="1:5" ht="15" x14ac:dyDescent="0.25">
      <c r="A145" s="446" t="s">
        <v>682</v>
      </c>
      <c r="B145" s="12">
        <f>'Flyback CCM'!B193*1000*2*PI()</f>
        <v>454.5454545454545</v>
      </c>
      <c r="C145" s="29" t="s">
        <v>759</v>
      </c>
    </row>
    <row r="146" spans="1:5" ht="15" x14ac:dyDescent="0.25">
      <c r="A146" s="446" t="s">
        <v>731</v>
      </c>
      <c r="B146" s="12">
        <f>'Flyback CCM'!B179*'Flyback CCM'!B175/('Flyback CCM'!B188)</f>
        <v>3968.2539682539687</v>
      </c>
      <c r="C146" s="29" t="s">
        <v>971</v>
      </c>
      <c r="D146">
        <f>20*LOG(B146)</f>
        <v>71.971989184369122</v>
      </c>
      <c r="E146" t="s">
        <v>732</v>
      </c>
    </row>
    <row r="147" spans="1:5" ht="15.75" thickBot="1" x14ac:dyDescent="0.3">
      <c r="A147" s="447" t="s">
        <v>967</v>
      </c>
      <c r="B147" s="31">
        <f>B133*B134/(B141*B139*B132)</f>
        <v>1803.7518037518037</v>
      </c>
      <c r="C147" s="448" t="s">
        <v>971</v>
      </c>
      <c r="D147">
        <f>20*LOG(B147)</f>
        <v>65.123535567924989</v>
      </c>
      <c r="E147" t="s">
        <v>732</v>
      </c>
    </row>
    <row r="148" spans="1:5" ht="15" x14ac:dyDescent="0.25">
      <c r="A148" s="551" t="s">
        <v>736</v>
      </c>
      <c r="B148" s="551"/>
      <c r="C148" s="551"/>
    </row>
    <row r="149" spans="1:5" ht="15" x14ac:dyDescent="0.25">
      <c r="A149" s="437" t="s">
        <v>1001</v>
      </c>
      <c r="B149" s="437">
        <f>'Flyback CCM'!B205*1000</f>
        <v>10000</v>
      </c>
      <c r="C149" s="437"/>
    </row>
    <row r="150" spans="1:5" ht="15" x14ac:dyDescent="0.25">
      <c r="A150" s="437" t="s">
        <v>999</v>
      </c>
      <c r="B150" s="437">
        <f>(2*PI()*B127*SQRT((1+((B127/B130)^2))/(1+((B127/B129)^2))))/B128</f>
        <v>2674.504268796723</v>
      </c>
      <c r="C150" s="437"/>
    </row>
    <row r="151" spans="1:5" ht="15" x14ac:dyDescent="0.25">
      <c r="A151" s="437" t="s">
        <v>1000</v>
      </c>
      <c r="B151" s="437">
        <f>B129/(B130*B150*B149)</f>
        <v>9.693731368613657E-11</v>
      </c>
      <c r="C151" s="437" t="s">
        <v>343</v>
      </c>
    </row>
    <row r="152" spans="1:5" ht="15" x14ac:dyDescent="0.25">
      <c r="A152" s="437" t="s">
        <v>1002</v>
      </c>
      <c r="B152" s="437">
        <f>'Flyback CCM'!B210*(10^-9)</f>
        <v>1.5E-10</v>
      </c>
      <c r="C152" s="437"/>
    </row>
    <row r="153" spans="1:5" ht="15" x14ac:dyDescent="0.25">
      <c r="A153" s="437" t="s">
        <v>1003</v>
      </c>
      <c r="B153" s="437">
        <f>(1/(B150*B149))-B151</f>
        <v>3.729316939382368E-8</v>
      </c>
      <c r="C153" s="437" t="s">
        <v>343</v>
      </c>
    </row>
    <row r="154" spans="1:5" ht="15" x14ac:dyDescent="0.25">
      <c r="A154" s="437" t="s">
        <v>1004</v>
      </c>
      <c r="B154" s="437">
        <f>'Flyback CCM'!B212*(10^-9)</f>
        <v>5.7149999999999999E-8</v>
      </c>
      <c r="C154" s="437"/>
    </row>
    <row r="155" spans="1:5" ht="15" x14ac:dyDescent="0.25">
      <c r="A155" s="437" t="s">
        <v>1005</v>
      </c>
      <c r="B155" s="437">
        <f>1/(2*PI()*B129*B153)</f>
        <v>60966.715383179086</v>
      </c>
      <c r="C155" s="437"/>
    </row>
    <row r="156" spans="1:5" x14ac:dyDescent="0.55000000000000004">
      <c r="A156" s="437" t="s">
        <v>1006</v>
      </c>
      <c r="B156" s="437">
        <f>'Flyback CCM'!B214*1000</f>
        <v>39778</v>
      </c>
      <c r="C156" s="437"/>
    </row>
    <row r="157" spans="1:5" x14ac:dyDescent="0.55000000000000004">
      <c r="A157" s="222" t="s">
        <v>681</v>
      </c>
      <c r="B157">
        <f>'Flyback CCM'!B215*1000*2*PI()</f>
        <v>167596.82906799405</v>
      </c>
    </row>
    <row r="158" spans="1:5" x14ac:dyDescent="0.55000000000000004">
      <c r="A158" s="222" t="s">
        <v>682</v>
      </c>
      <c r="B158">
        <f>'Flyback CCM'!B216*1000*2*PI()</f>
        <v>439.88669046717598</v>
      </c>
    </row>
    <row r="159" spans="1:5" x14ac:dyDescent="0.55000000000000004">
      <c r="A159" s="222" t="s">
        <v>743</v>
      </c>
      <c r="B159">
        <f>1/('Flyback CCM'!B205*1000*('Flyback CCM'!B210+'Flyback CCM'!B212)*(10^-9))</f>
        <v>1745.2006980802792</v>
      </c>
    </row>
  </sheetData>
  <mergeCells count="21">
    <mergeCell ref="A131:C131"/>
    <mergeCell ref="A148:C148"/>
    <mergeCell ref="DM2:DR2"/>
    <mergeCell ref="DS2:DX2"/>
    <mergeCell ref="E22:H22"/>
    <mergeCell ref="A108:C108"/>
    <mergeCell ref="AT2:AU2"/>
    <mergeCell ref="W2:X2"/>
    <mergeCell ref="A55:C55"/>
    <mergeCell ref="A9:B9"/>
    <mergeCell ref="A4:B4"/>
    <mergeCell ref="A24:B24"/>
    <mergeCell ref="AR2:AS2"/>
    <mergeCell ref="DC2:DH2"/>
    <mergeCell ref="DI2:DJ2"/>
    <mergeCell ref="DK2:DL2"/>
    <mergeCell ref="A65:C65"/>
    <mergeCell ref="A73:C73"/>
    <mergeCell ref="CZ1:DX1"/>
    <mergeCell ref="A126:C126"/>
    <mergeCell ref="BQ2:BY2"/>
  </mergeCells>
  <conditionalFormatting sqref="L4:BI54">
    <cfRule type="expression" dxfId="14" priority="9">
      <formula>MOD(ROW(),2)=1</formula>
    </cfRule>
  </conditionalFormatting>
  <conditionalFormatting sqref="BJ4:CV54">
    <cfRule type="expression" dxfId="13" priority="5">
      <formula>MOD(ROW(),2)=1</formula>
    </cfRule>
  </conditionalFormatting>
  <conditionalFormatting sqref="F24:H27">
    <cfRule type="cellIs" dxfId="12" priority="3" operator="equal">
      <formula>0</formula>
    </cfRule>
    <cfRule type="cellIs" dxfId="11" priority="4" operator="equal">
      <formula>1</formula>
    </cfRule>
  </conditionalFormatting>
  <conditionalFormatting sqref="F28:H28">
    <cfRule type="cellIs" dxfId="10" priority="1" operator="equal">
      <formula>0</formula>
    </cfRule>
    <cfRule type="cellIs" dxfId="9" priority="2" operator="equal">
      <formula>1</formula>
    </cfRule>
  </conditionalFormatting>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13"/>
  <sheetViews>
    <sheetView topLeftCell="A45" zoomScale="85" zoomScaleNormal="85" workbookViewId="0">
      <selection activeCell="B209" sqref="B209"/>
    </sheetView>
  </sheetViews>
  <sheetFormatPr defaultColWidth="9.15625" defaultRowHeight="14.4" x14ac:dyDescent="0.55000000000000004"/>
  <cols>
    <col min="1" max="1" width="32.15625" style="297" bestFit="1" customWidth="1"/>
    <col min="2" max="2" width="12" style="297" bestFit="1" customWidth="1"/>
    <col min="3" max="3" width="3.68359375" style="297" customWidth="1"/>
    <col min="4" max="4" width="9.15625" style="297"/>
    <col min="5" max="5" width="9.578125" style="297" customWidth="1"/>
    <col min="6" max="16384" width="9.15625" style="297"/>
  </cols>
  <sheetData>
    <row r="1" spans="1:25" s="556" customFormat="1" x14ac:dyDescent="0.55000000000000004">
      <c r="A1" s="556" t="s">
        <v>797</v>
      </c>
    </row>
    <row r="2" spans="1:25" s="556" customFormat="1" x14ac:dyDescent="0.55000000000000004"/>
    <row r="4" spans="1:25" ht="15" x14ac:dyDescent="0.25">
      <c r="P4" s="340" t="s">
        <v>813</v>
      </c>
      <c r="Q4" s="340"/>
      <c r="R4" s="340"/>
      <c r="S4" s="340"/>
      <c r="T4" s="340"/>
      <c r="U4" s="340"/>
      <c r="V4" s="340"/>
      <c r="W4" s="340"/>
      <c r="X4" s="340"/>
      <c r="Y4" s="340"/>
    </row>
    <row r="5" spans="1:25" ht="15" x14ac:dyDescent="0.25">
      <c r="P5" s="340" t="s">
        <v>815</v>
      </c>
      <c r="Q5" s="340"/>
      <c r="R5" s="340"/>
      <c r="S5" s="340"/>
      <c r="T5" s="340"/>
      <c r="U5" s="340" t="s">
        <v>814</v>
      </c>
      <c r="V5" s="340"/>
      <c r="W5" s="340"/>
      <c r="X5" s="340"/>
      <c r="Y5" s="340"/>
    </row>
    <row r="6" spans="1:25" ht="19.5" thickBot="1" x14ac:dyDescent="0.35">
      <c r="E6" s="462" t="s">
        <v>868</v>
      </c>
      <c r="F6" s="462"/>
      <c r="G6" s="462"/>
      <c r="P6" s="340" t="s">
        <v>800</v>
      </c>
      <c r="Q6" s="340" t="s">
        <v>802</v>
      </c>
      <c r="R6" s="340"/>
      <c r="S6" s="340"/>
      <c r="T6" s="340"/>
      <c r="U6" s="340"/>
      <c r="V6" s="340"/>
      <c r="W6" s="340"/>
      <c r="X6" s="340"/>
      <c r="Y6" s="340"/>
    </row>
    <row r="7" spans="1:25" ht="15.75" thickBot="1" x14ac:dyDescent="0.3">
      <c r="E7" s="301"/>
      <c r="F7" s="297" t="s">
        <v>867</v>
      </c>
      <c r="P7" s="340"/>
      <c r="Q7" s="340" t="s">
        <v>816</v>
      </c>
      <c r="R7" s="340"/>
      <c r="S7" s="340"/>
      <c r="T7" s="340"/>
      <c r="U7" s="340" t="s">
        <v>817</v>
      </c>
      <c r="V7" s="340"/>
      <c r="W7" s="340"/>
      <c r="X7" s="340"/>
      <c r="Y7" s="340"/>
    </row>
    <row r="8" spans="1:25" ht="15.75" thickBot="1" x14ac:dyDescent="0.3">
      <c r="E8" s="302"/>
      <c r="F8" s="297" t="s">
        <v>869</v>
      </c>
      <c r="P8" s="340"/>
      <c r="Q8" s="340"/>
      <c r="R8" s="340"/>
      <c r="S8" s="340"/>
      <c r="T8" s="340"/>
      <c r="U8" s="340"/>
      <c r="V8" s="340"/>
      <c r="W8" s="340"/>
      <c r="X8" s="340"/>
      <c r="Y8" s="340"/>
    </row>
    <row r="9" spans="1:25" ht="15.75" thickBot="1" x14ac:dyDescent="0.3">
      <c r="E9" s="303"/>
      <c r="F9" s="297" t="s">
        <v>870</v>
      </c>
      <c r="P9" s="340"/>
      <c r="Q9" s="340"/>
      <c r="R9" s="340"/>
      <c r="S9" s="340"/>
      <c r="T9" s="340"/>
      <c r="U9" s="340"/>
      <c r="V9" s="340"/>
      <c r="W9" s="340"/>
      <c r="X9" s="340"/>
      <c r="Y9" s="340"/>
    </row>
    <row r="10" spans="1:25" ht="15" x14ac:dyDescent="0.25">
      <c r="P10" s="340"/>
      <c r="Q10" s="340"/>
      <c r="R10" s="340"/>
      <c r="S10" s="340"/>
      <c r="T10" s="340"/>
      <c r="U10" s="340"/>
      <c r="V10" s="340"/>
      <c r="W10" s="340"/>
      <c r="X10" s="340"/>
      <c r="Y10" s="340"/>
    </row>
    <row r="14" spans="1:25" ht="15.75" thickBot="1" x14ac:dyDescent="0.3"/>
    <row r="15" spans="1:25" ht="19.5" thickBot="1" x14ac:dyDescent="0.35">
      <c r="A15" s="497" t="s">
        <v>916</v>
      </c>
      <c r="B15" s="498"/>
      <c r="C15" s="498"/>
      <c r="D15" s="498"/>
      <c r="E15" s="498"/>
      <c r="F15" s="498"/>
      <c r="G15" s="498"/>
      <c r="H15" s="499"/>
    </row>
    <row r="16" spans="1:25" ht="14.7" thickBot="1" x14ac:dyDescent="0.6">
      <c r="A16" s="347"/>
      <c r="B16" s="349" t="s">
        <v>945</v>
      </c>
      <c r="C16" s="349"/>
      <c r="D16" s="349"/>
      <c r="E16" s="349" t="s">
        <v>24</v>
      </c>
      <c r="F16" s="350"/>
      <c r="G16" s="408" t="s">
        <v>953</v>
      </c>
      <c r="H16" s="409"/>
    </row>
    <row r="17" spans="1:8" x14ac:dyDescent="0.55000000000000004">
      <c r="A17" s="411" t="s">
        <v>13</v>
      </c>
      <c r="B17" s="389">
        <f>IF(Ns1_FBack_Calc&lt;&gt;0,Ns1_FBack_Calc/Np,0)</f>
        <v>2.5500000000000003</v>
      </c>
      <c r="C17" s="315"/>
      <c r="D17" s="417" t="s">
        <v>13</v>
      </c>
      <c r="E17" s="383">
        <f>n1_Flyback</f>
        <v>0.375</v>
      </c>
      <c r="F17" s="315"/>
      <c r="G17" s="285">
        <v>10</v>
      </c>
      <c r="H17" s="299" t="s">
        <v>422</v>
      </c>
    </row>
    <row r="18" spans="1:8" x14ac:dyDescent="0.55000000000000004">
      <c r="A18" s="354" t="s">
        <v>14</v>
      </c>
      <c r="B18" s="355">
        <f>IF(Ns2_FBack_Calc&lt;&gt;0,Ns2_FBack_Calc/Np,0)</f>
        <v>0</v>
      </c>
      <c r="C18" s="315"/>
      <c r="D18" s="315" t="s">
        <v>14</v>
      </c>
      <c r="E18" s="324">
        <f>n2_Flyback</f>
        <v>0</v>
      </c>
      <c r="F18" s="315"/>
      <c r="G18" s="286">
        <v>10</v>
      </c>
      <c r="H18" s="299" t="s">
        <v>422</v>
      </c>
    </row>
    <row r="19" spans="1:8" x14ac:dyDescent="0.55000000000000004">
      <c r="A19" s="354" t="s">
        <v>15</v>
      </c>
      <c r="B19" s="355">
        <f>IF(Ns3_FBack_Calc&lt;&gt;0,Ns3_FBack_Calc/Np,0)</f>
        <v>0</v>
      </c>
      <c r="C19" s="315"/>
      <c r="D19" s="315" t="s">
        <v>15</v>
      </c>
      <c r="E19" s="324">
        <f>n3_Flyback</f>
        <v>0</v>
      </c>
      <c r="F19" s="315"/>
      <c r="G19" s="286">
        <v>0</v>
      </c>
      <c r="H19" s="299" t="s">
        <v>422</v>
      </c>
    </row>
    <row r="20" spans="1:8" x14ac:dyDescent="0.55000000000000004">
      <c r="A20" s="354" t="s">
        <v>16</v>
      </c>
      <c r="B20" s="355">
        <f>IF(Ns4_FBack_Calc&lt;&gt;0,Ns4_FBack_Calc/Np,0)</f>
        <v>0</v>
      </c>
      <c r="C20" s="315"/>
      <c r="D20" s="315" t="s">
        <v>16</v>
      </c>
      <c r="E20" s="324">
        <f>n4_Flyback</f>
        <v>0</v>
      </c>
      <c r="F20" s="315"/>
      <c r="G20" s="286">
        <v>0</v>
      </c>
      <c r="H20" s="299" t="s">
        <v>422</v>
      </c>
    </row>
    <row r="21" spans="1:8" x14ac:dyDescent="0.55000000000000004">
      <c r="A21" s="354" t="s">
        <v>17</v>
      </c>
      <c r="B21" s="355">
        <f>IF(Ns5_FBack_Calc&lt;&gt;0,Ns5_FBack_Calc/Np,0)</f>
        <v>0</v>
      </c>
      <c r="C21" s="315"/>
      <c r="D21" s="315" t="s">
        <v>17</v>
      </c>
      <c r="E21" s="324">
        <f>n5_Flyback</f>
        <v>0</v>
      </c>
      <c r="F21" s="315"/>
      <c r="G21" s="286">
        <v>0</v>
      </c>
      <c r="H21" s="299" t="s">
        <v>422</v>
      </c>
    </row>
    <row r="22" spans="1:8" x14ac:dyDescent="0.55000000000000004">
      <c r="A22" s="354" t="s">
        <v>18</v>
      </c>
      <c r="B22" s="355">
        <f>IF(Ns6_FBack_Calc&lt;&gt;0,Ns6_FBack_Calc/Np,0)</f>
        <v>0</v>
      </c>
      <c r="C22" s="315"/>
      <c r="D22" s="315" t="s">
        <v>18</v>
      </c>
      <c r="E22" s="324">
        <f>n6_Flyback</f>
        <v>0</v>
      </c>
      <c r="F22" s="315"/>
      <c r="G22" s="286">
        <v>0</v>
      </c>
      <c r="H22" s="299" t="s">
        <v>422</v>
      </c>
    </row>
    <row r="23" spans="1:8" ht="14.7" thickBot="1" x14ac:dyDescent="0.6">
      <c r="A23" s="356" t="s">
        <v>398</v>
      </c>
      <c r="B23" s="357">
        <f>IF(NsAux_FBack_Calc&lt;&gt;0,NsAux_FBack_Calc/Np,0)</f>
        <v>0</v>
      </c>
      <c r="C23" s="358"/>
      <c r="D23" s="358" t="s">
        <v>398</v>
      </c>
      <c r="E23" s="326">
        <f>nAux_Flyback</f>
        <v>0</v>
      </c>
      <c r="F23" s="358"/>
      <c r="G23" s="290">
        <v>10</v>
      </c>
      <c r="H23" s="305" t="s">
        <v>422</v>
      </c>
    </row>
    <row r="24" spans="1:8" ht="15.75" thickBot="1" x14ac:dyDescent="0.3">
      <c r="A24" s="315"/>
      <c r="B24" s="364"/>
      <c r="C24" s="315"/>
      <c r="D24" s="315"/>
      <c r="E24" s="315"/>
      <c r="F24" s="315"/>
      <c r="G24" s="315"/>
    </row>
    <row r="25" spans="1:8" ht="19.5" thickBot="1" x14ac:dyDescent="0.35">
      <c r="A25" s="497" t="s">
        <v>35</v>
      </c>
      <c r="B25" s="498"/>
      <c r="C25" s="499"/>
      <c r="D25" s="315"/>
      <c r="E25" s="315"/>
      <c r="F25" s="315"/>
      <c r="G25" s="315"/>
    </row>
    <row r="26" spans="1:8" x14ac:dyDescent="0.55000000000000004">
      <c r="A26" s="351" t="s">
        <v>946</v>
      </c>
      <c r="B26" s="359">
        <f>Lcalc_Flyback_crit*(10^6)</f>
        <v>2</v>
      </c>
      <c r="C26" s="314" t="s">
        <v>952</v>
      </c>
      <c r="D26" s="315"/>
      <c r="E26" s="315"/>
      <c r="F26" s="315"/>
      <c r="G26" s="315"/>
    </row>
    <row r="27" spans="1:8" x14ac:dyDescent="0.55000000000000004">
      <c r="A27" s="354" t="s">
        <v>64</v>
      </c>
      <c r="B27" s="286">
        <v>42.61</v>
      </c>
      <c r="C27" s="299" t="s">
        <v>952</v>
      </c>
      <c r="D27" s="315"/>
      <c r="E27" s="315"/>
      <c r="F27" s="315"/>
      <c r="G27" s="315"/>
    </row>
    <row r="28" spans="1:8" ht="14.7" thickBot="1" x14ac:dyDescent="0.6">
      <c r="A28" s="354" t="s">
        <v>447</v>
      </c>
      <c r="B28" s="286">
        <v>70</v>
      </c>
      <c r="C28" s="299" t="s">
        <v>448</v>
      </c>
      <c r="D28" s="315"/>
      <c r="E28" s="315"/>
      <c r="F28" s="315"/>
      <c r="G28" s="315"/>
    </row>
    <row r="29" spans="1:8" ht="14.7" thickBot="1" x14ac:dyDescent="0.6">
      <c r="A29" s="391" t="s">
        <v>709</v>
      </c>
      <c r="B29" s="393">
        <v>0.33</v>
      </c>
      <c r="C29" s="350" t="s">
        <v>952</v>
      </c>
      <c r="D29" s="315"/>
      <c r="E29" s="315"/>
      <c r="F29" s="315"/>
      <c r="G29" s="315"/>
    </row>
    <row r="30" spans="1:8" ht="19.5" thickBot="1" x14ac:dyDescent="0.35">
      <c r="A30" s="497" t="s">
        <v>689</v>
      </c>
      <c r="B30" s="498"/>
      <c r="C30" s="499"/>
      <c r="D30" s="315"/>
      <c r="E30" s="315"/>
      <c r="F30" s="315"/>
      <c r="G30" s="315"/>
    </row>
    <row r="31" spans="1:8" ht="15" x14ac:dyDescent="0.25">
      <c r="A31" s="354" t="s">
        <v>947</v>
      </c>
      <c r="B31" s="389">
        <f>ILpeak_Max_FlyB_DCM</f>
        <v>1.0832513403280237</v>
      </c>
      <c r="C31" s="376" t="s">
        <v>6</v>
      </c>
      <c r="D31" s="315"/>
      <c r="E31" s="315"/>
      <c r="F31" s="315"/>
      <c r="G31" s="315"/>
    </row>
    <row r="32" spans="1:8" ht="15" x14ac:dyDescent="0.25">
      <c r="A32" s="354" t="s">
        <v>948</v>
      </c>
      <c r="B32" s="355">
        <f>ILripple_Max_FlyB_DCM</f>
        <v>1.0832513403280237</v>
      </c>
      <c r="C32" s="362" t="s">
        <v>6</v>
      </c>
      <c r="D32" s="315"/>
      <c r="E32" s="315"/>
      <c r="F32" s="315"/>
      <c r="G32" s="315"/>
    </row>
    <row r="33" spans="1:7" ht="15.75" thickBot="1" x14ac:dyDescent="0.3">
      <c r="A33" s="356" t="s">
        <v>949</v>
      </c>
      <c r="B33" s="357">
        <f>ILrms_Max_FlyB_DCM</f>
        <v>0.95011023059082633</v>
      </c>
      <c r="C33" s="363" t="s">
        <v>6</v>
      </c>
      <c r="D33" s="315"/>
      <c r="E33" s="315"/>
      <c r="F33" s="315"/>
      <c r="G33" s="315"/>
    </row>
    <row r="34" spans="1:7" ht="15.75" thickBot="1" x14ac:dyDescent="0.3">
      <c r="A34" s="315"/>
      <c r="B34" s="364"/>
      <c r="C34" s="315"/>
      <c r="D34" s="315"/>
      <c r="E34" s="315"/>
      <c r="F34" s="315"/>
      <c r="G34" s="315"/>
    </row>
    <row r="35" spans="1:7" ht="19.5" thickBot="1" x14ac:dyDescent="0.35">
      <c r="A35" s="497" t="s">
        <v>617</v>
      </c>
      <c r="B35" s="498"/>
      <c r="C35" s="499"/>
      <c r="D35" s="373"/>
      <c r="E35" s="315"/>
      <c r="F35" s="315"/>
      <c r="G35" s="315"/>
    </row>
    <row r="36" spans="1:7" ht="15" x14ac:dyDescent="0.25">
      <c r="A36" s="351" t="s">
        <v>277</v>
      </c>
      <c r="B36" s="557">
        <f>Flyback_DCM_Calc!I9</f>
        <v>0</v>
      </c>
      <c r="C36" s="558"/>
      <c r="D36" s="315"/>
      <c r="E36" s="315"/>
      <c r="F36" s="315"/>
      <c r="G36" s="315"/>
    </row>
    <row r="37" spans="1:7" ht="15" x14ac:dyDescent="0.25">
      <c r="A37" s="354" t="s">
        <v>424</v>
      </c>
      <c r="B37" s="539">
        <f>Flyback_DCM_Calc!I10</f>
        <v>0</v>
      </c>
      <c r="C37" s="540"/>
      <c r="D37" s="315"/>
      <c r="E37" s="315"/>
      <c r="F37" s="315"/>
      <c r="G37" s="315"/>
    </row>
    <row r="38" spans="1:7" ht="15" x14ac:dyDescent="0.25">
      <c r="A38" s="354" t="s">
        <v>425</v>
      </c>
      <c r="B38" s="539">
        <f>Flyback_DCM_Calc!I11</f>
        <v>1</v>
      </c>
      <c r="C38" s="540"/>
      <c r="D38" s="315"/>
      <c r="E38" s="315"/>
      <c r="F38" s="315"/>
      <c r="G38" s="315"/>
    </row>
    <row r="39" spans="1:7" ht="15" x14ac:dyDescent="0.25">
      <c r="A39" s="354" t="s">
        <v>426</v>
      </c>
      <c r="B39" s="539">
        <f>Flyback_DCM_Calc!I12</f>
        <v>0</v>
      </c>
      <c r="C39" s="540"/>
      <c r="D39" s="315"/>
      <c r="E39" s="315"/>
      <c r="F39" s="315"/>
      <c r="G39" s="315"/>
    </row>
    <row r="40" spans="1:7" ht="15" x14ac:dyDescent="0.25">
      <c r="A40" s="354" t="s">
        <v>960</v>
      </c>
      <c r="B40" s="539">
        <f>Flyback_DCM_Calc!I13</f>
        <v>0</v>
      </c>
      <c r="C40" s="540"/>
      <c r="D40" s="315"/>
      <c r="E40" s="315"/>
      <c r="F40" s="315"/>
      <c r="G40" s="315"/>
    </row>
    <row r="41" spans="1:7" ht="15.75" thickBot="1" x14ac:dyDescent="0.3">
      <c r="A41" s="356" t="s">
        <v>518</v>
      </c>
      <c r="B41" s="562" t="s">
        <v>960</v>
      </c>
      <c r="C41" s="563"/>
      <c r="D41" s="315"/>
      <c r="E41" s="315"/>
      <c r="F41" s="315"/>
      <c r="G41" s="315"/>
    </row>
    <row r="42" spans="1:7" ht="15" x14ac:dyDescent="0.25">
      <c r="E42" s="315"/>
      <c r="F42" s="315"/>
      <c r="G42" s="315"/>
    </row>
    <row r="43" spans="1:7" ht="15" x14ac:dyDescent="0.25">
      <c r="A43" s="315"/>
      <c r="B43" s="364"/>
      <c r="C43" s="315"/>
      <c r="D43" s="315"/>
      <c r="E43" s="315"/>
      <c r="F43" s="315"/>
      <c r="G43" s="315"/>
    </row>
    <row r="44" spans="1:7" ht="15" x14ac:dyDescent="0.25">
      <c r="A44" s="315"/>
      <c r="B44" s="364"/>
      <c r="C44" s="315"/>
      <c r="D44" s="315"/>
      <c r="E44" s="315"/>
      <c r="F44" s="315"/>
      <c r="G44" s="315"/>
    </row>
    <row r="45" spans="1:7" ht="15" x14ac:dyDescent="0.25">
      <c r="A45" s="315"/>
      <c r="B45" s="364"/>
      <c r="C45" s="315"/>
      <c r="D45" s="315"/>
      <c r="E45" s="315"/>
      <c r="F45" s="315"/>
      <c r="G45" s="315"/>
    </row>
    <row r="46" spans="1:7" ht="15" x14ac:dyDescent="0.25">
      <c r="A46" s="315"/>
      <c r="B46" s="364"/>
      <c r="C46" s="315"/>
      <c r="D46" s="315"/>
      <c r="E46" s="315"/>
      <c r="F46" s="315"/>
      <c r="G46" s="315"/>
    </row>
    <row r="47" spans="1:7" ht="15" x14ac:dyDescent="0.25">
      <c r="A47" s="315"/>
      <c r="B47" s="364"/>
      <c r="C47" s="315"/>
      <c r="D47" s="315"/>
      <c r="E47" s="315"/>
      <c r="F47" s="315"/>
      <c r="G47" s="315"/>
    </row>
    <row r="48" spans="1:7" ht="15" x14ac:dyDescent="0.25">
      <c r="A48" s="315"/>
      <c r="B48" s="364"/>
      <c r="C48" s="315"/>
      <c r="D48" s="315"/>
      <c r="E48" s="315"/>
      <c r="F48" s="315"/>
      <c r="G48" s="315"/>
    </row>
    <row r="49" spans="1:7" ht="15" x14ac:dyDescent="0.25">
      <c r="A49" s="315"/>
      <c r="B49" s="364"/>
      <c r="C49" s="315"/>
      <c r="D49" s="315"/>
      <c r="E49" s="315"/>
      <c r="F49" s="315"/>
      <c r="G49" s="315"/>
    </row>
    <row r="50" spans="1:7" ht="15" x14ac:dyDescent="0.25">
      <c r="A50" s="315"/>
      <c r="B50" s="364"/>
      <c r="C50" s="315"/>
      <c r="D50" s="315"/>
      <c r="E50" s="315"/>
      <c r="F50" s="315"/>
      <c r="G50" s="315"/>
    </row>
    <row r="51" spans="1:7" ht="15" x14ac:dyDescent="0.25">
      <c r="A51" s="315"/>
      <c r="B51" s="364"/>
      <c r="C51" s="315"/>
      <c r="D51" s="315"/>
      <c r="E51" s="315"/>
      <c r="F51" s="315"/>
      <c r="G51" s="315"/>
    </row>
    <row r="52" spans="1:7" ht="15" x14ac:dyDescent="0.25">
      <c r="A52" s="315"/>
      <c r="B52" s="364"/>
      <c r="C52" s="315"/>
      <c r="D52" s="315"/>
      <c r="E52" s="315"/>
      <c r="F52" s="315"/>
      <c r="G52" s="315"/>
    </row>
    <row r="53" spans="1:7" ht="15" x14ac:dyDescent="0.25">
      <c r="A53" s="315"/>
      <c r="B53" s="364"/>
      <c r="C53" s="315"/>
      <c r="D53" s="315"/>
      <c r="E53" s="315"/>
      <c r="F53" s="315"/>
      <c r="G53" s="315"/>
    </row>
    <row r="54" spans="1:7" ht="15" x14ac:dyDescent="0.25">
      <c r="A54" s="315"/>
      <c r="B54" s="364"/>
      <c r="C54" s="315"/>
      <c r="D54" s="315"/>
      <c r="E54" s="315"/>
      <c r="F54" s="315"/>
      <c r="G54" s="315"/>
    </row>
    <row r="55" spans="1:7" ht="15" x14ac:dyDescent="0.25">
      <c r="A55" s="315"/>
      <c r="B55" s="364"/>
      <c r="C55" s="315"/>
      <c r="D55" s="315"/>
      <c r="E55" s="315"/>
      <c r="F55" s="315"/>
      <c r="G55" s="315"/>
    </row>
    <row r="56" spans="1:7" ht="15" x14ac:dyDescent="0.25">
      <c r="A56" s="315"/>
      <c r="B56" s="364"/>
      <c r="C56" s="315"/>
      <c r="D56" s="315"/>
      <c r="E56" s="315"/>
      <c r="F56" s="315"/>
      <c r="G56" s="315"/>
    </row>
    <row r="57" spans="1:7" ht="15" x14ac:dyDescent="0.25">
      <c r="A57" s="315"/>
      <c r="B57" s="364"/>
      <c r="C57" s="315"/>
      <c r="D57" s="315"/>
      <c r="E57" s="315"/>
      <c r="F57" s="315"/>
      <c r="G57" s="315"/>
    </row>
    <row r="58" spans="1:7" ht="15" x14ac:dyDescent="0.25">
      <c r="A58" s="315"/>
      <c r="B58" s="364"/>
      <c r="C58" s="315"/>
      <c r="D58" s="315"/>
      <c r="E58" s="315"/>
      <c r="F58" s="315"/>
      <c r="G58" s="315"/>
    </row>
    <row r="59" spans="1:7" ht="15" x14ac:dyDescent="0.25">
      <c r="A59" s="315"/>
      <c r="B59" s="364"/>
      <c r="C59" s="315"/>
      <c r="D59" s="315"/>
      <c r="E59" s="315"/>
      <c r="F59" s="315"/>
      <c r="G59" s="315"/>
    </row>
    <row r="60" spans="1:7" ht="15" x14ac:dyDescent="0.25">
      <c r="A60" s="315"/>
      <c r="B60" s="364"/>
      <c r="C60" s="315"/>
      <c r="D60" s="315"/>
      <c r="E60" s="315"/>
      <c r="F60" s="315"/>
      <c r="G60" s="315"/>
    </row>
    <row r="61" spans="1:7" ht="15" x14ac:dyDescent="0.25">
      <c r="A61" s="315"/>
      <c r="B61" s="364"/>
      <c r="C61" s="315"/>
      <c r="D61" s="315"/>
      <c r="E61" s="315"/>
      <c r="F61" s="315"/>
      <c r="G61" s="315"/>
    </row>
    <row r="62" spans="1:7" ht="15.75" thickBot="1" x14ac:dyDescent="0.3">
      <c r="A62" s="315"/>
      <c r="B62" s="364"/>
      <c r="C62" s="315"/>
      <c r="D62" s="315"/>
      <c r="E62" s="315"/>
      <c r="F62" s="315"/>
      <c r="G62" s="315"/>
    </row>
    <row r="63" spans="1:7" ht="19.5" thickBot="1" x14ac:dyDescent="0.35">
      <c r="A63" s="534" t="s">
        <v>818</v>
      </c>
      <c r="B63" s="500"/>
      <c r="C63" s="501"/>
    </row>
    <row r="64" spans="1:7" ht="15" x14ac:dyDescent="0.25">
      <c r="A64" s="351" t="s">
        <v>773</v>
      </c>
      <c r="B64" s="286">
        <v>2</v>
      </c>
      <c r="C64" s="362" t="s">
        <v>6</v>
      </c>
    </row>
    <row r="65" spans="1:3" x14ac:dyDescent="0.55000000000000004">
      <c r="A65" s="354" t="s">
        <v>719</v>
      </c>
      <c r="B65" s="355">
        <f>IF(Flyback_DCM_Calc!B73&lt;&gt;12,Flyback_DCM_Calc!B89*1000/'Flyback DCM'!B64,50)</f>
        <v>50</v>
      </c>
      <c r="C65" s="362" t="s">
        <v>422</v>
      </c>
    </row>
    <row r="66" spans="1:3" x14ac:dyDescent="0.55000000000000004">
      <c r="A66" s="354" t="s">
        <v>716</v>
      </c>
      <c r="B66" s="286">
        <v>50</v>
      </c>
      <c r="C66" s="362" t="s">
        <v>422</v>
      </c>
    </row>
    <row r="67" spans="1:3" ht="15.75" thickBot="1" x14ac:dyDescent="0.3">
      <c r="A67" s="356" t="s">
        <v>720</v>
      </c>
      <c r="B67" s="378">
        <f>IF(Flyback_DCM_Calc!B73&lt;&gt;12,Flyback_DCM_Calc!B89/('Flyback DCM'!B66/1000),0.8)</f>
        <v>2</v>
      </c>
      <c r="C67" s="363" t="s">
        <v>6</v>
      </c>
    </row>
    <row r="68" spans="1:3" ht="15.75" thickBot="1" x14ac:dyDescent="0.3"/>
    <row r="69" spans="1:3" ht="19.5" thickBot="1" x14ac:dyDescent="0.35">
      <c r="A69" s="497" t="s">
        <v>625</v>
      </c>
      <c r="B69" s="498"/>
      <c r="C69" s="499"/>
    </row>
    <row r="70" spans="1:3" ht="15" x14ac:dyDescent="0.25">
      <c r="A70" s="379" t="s">
        <v>626</v>
      </c>
      <c r="B70" s="285">
        <v>100</v>
      </c>
      <c r="C70" s="376" t="s">
        <v>5</v>
      </c>
    </row>
    <row r="71" spans="1:3" x14ac:dyDescent="0.55000000000000004">
      <c r="A71" s="380" t="s">
        <v>627</v>
      </c>
      <c r="B71" s="286">
        <v>5</v>
      </c>
      <c r="C71" s="381" t="s">
        <v>422</v>
      </c>
    </row>
    <row r="72" spans="1:3" ht="15" x14ac:dyDescent="0.25">
      <c r="A72" s="380" t="s">
        <v>628</v>
      </c>
      <c r="B72" s="286">
        <v>50</v>
      </c>
      <c r="C72" s="362" t="s">
        <v>629</v>
      </c>
    </row>
    <row r="73" spans="1:3" ht="15.75" thickBot="1" x14ac:dyDescent="0.3">
      <c r="A73" s="382" t="s">
        <v>710</v>
      </c>
      <c r="B73" s="290">
        <v>1</v>
      </c>
      <c r="C73" s="363" t="s">
        <v>445</v>
      </c>
    </row>
    <row r="74" spans="1:3" ht="15.75" thickBot="1" x14ac:dyDescent="0.3"/>
    <row r="75" spans="1:3" ht="19.5" thickBot="1" x14ac:dyDescent="0.35">
      <c r="A75" s="497" t="s">
        <v>453</v>
      </c>
      <c r="B75" s="498"/>
      <c r="C75" s="499"/>
    </row>
    <row r="76" spans="1:3" ht="15" x14ac:dyDescent="0.25">
      <c r="A76" s="379" t="s">
        <v>711</v>
      </c>
      <c r="B76" s="285">
        <v>100</v>
      </c>
      <c r="C76" s="376" t="s">
        <v>5</v>
      </c>
    </row>
    <row r="77" spans="1:3" ht="15" x14ac:dyDescent="0.25">
      <c r="A77" s="380" t="s">
        <v>468</v>
      </c>
      <c r="B77" s="324">
        <f>Vclamp_Flyback_DCM-VinMin</f>
        <v>94</v>
      </c>
      <c r="C77" s="362" t="s">
        <v>5</v>
      </c>
    </row>
    <row r="78" spans="1:3" ht="15" x14ac:dyDescent="0.25">
      <c r="A78" s="380" t="s">
        <v>712</v>
      </c>
      <c r="B78" s="286">
        <v>50</v>
      </c>
      <c r="C78" s="362" t="s">
        <v>280</v>
      </c>
    </row>
    <row r="79" spans="1:3" x14ac:dyDescent="0.55000000000000004">
      <c r="A79" s="380" t="s">
        <v>713</v>
      </c>
      <c r="B79" s="377">
        <f>Flyback_DCM_Calc!B66/1000</f>
        <v>87.389236363636329</v>
      </c>
      <c r="C79" s="362" t="s">
        <v>474</v>
      </c>
    </row>
    <row r="80" spans="1:3" x14ac:dyDescent="0.55000000000000004">
      <c r="A80" s="380" t="s">
        <v>714</v>
      </c>
      <c r="B80" s="286">
        <v>4.72</v>
      </c>
      <c r="C80" s="362" t="s">
        <v>474</v>
      </c>
    </row>
    <row r="81" spans="1:14" x14ac:dyDescent="0.55000000000000004">
      <c r="A81" s="380" t="s">
        <v>715</v>
      </c>
      <c r="B81" s="392">
        <f>Flyback_DCM_Calc!B69*(10^6)</f>
        <v>1.3276836158192089</v>
      </c>
      <c r="C81" s="362" t="s">
        <v>951</v>
      </c>
    </row>
    <row r="82" spans="1:14" x14ac:dyDescent="0.55000000000000004">
      <c r="A82" s="380" t="s">
        <v>421</v>
      </c>
      <c r="B82" s="286">
        <v>3</v>
      </c>
      <c r="C82" s="362" t="s">
        <v>951</v>
      </c>
    </row>
    <row r="83" spans="1:14" ht="14.7" thickBot="1" x14ac:dyDescent="0.6">
      <c r="A83" s="382" t="s">
        <v>476</v>
      </c>
      <c r="B83" s="378">
        <f>Flyback_DCM_Calc!B71*1000</f>
        <v>22.128060263653481</v>
      </c>
      <c r="C83" s="363" t="s">
        <v>280</v>
      </c>
    </row>
    <row r="86" spans="1:14" x14ac:dyDescent="0.55000000000000004">
      <c r="I86" s="315"/>
      <c r="J86" s="315"/>
      <c r="K86" s="315"/>
      <c r="L86" s="315"/>
      <c r="M86" s="315"/>
      <c r="N86" s="315"/>
    </row>
    <row r="87" spans="1:14" x14ac:dyDescent="0.55000000000000004">
      <c r="I87" s="315"/>
      <c r="J87" s="315"/>
      <c r="K87" s="315"/>
      <c r="L87" s="315"/>
      <c r="M87" s="315"/>
      <c r="N87" s="315"/>
    </row>
    <row r="88" spans="1:14" x14ac:dyDescent="0.55000000000000004">
      <c r="I88" s="315"/>
      <c r="J88" s="315"/>
      <c r="K88" s="315"/>
      <c r="L88" s="315"/>
      <c r="M88" s="315"/>
      <c r="N88" s="315"/>
    </row>
    <row r="89" spans="1:14" x14ac:dyDescent="0.55000000000000004">
      <c r="I89" s="315"/>
      <c r="J89" s="315"/>
      <c r="K89" s="315"/>
      <c r="L89" s="315"/>
      <c r="M89" s="315"/>
      <c r="N89" s="315"/>
    </row>
    <row r="90" spans="1:14" x14ac:dyDescent="0.55000000000000004">
      <c r="I90" s="315"/>
      <c r="J90" s="315"/>
      <c r="K90" s="315"/>
      <c r="L90" s="315"/>
      <c r="M90" s="315"/>
      <c r="N90" s="315"/>
    </row>
    <row r="91" spans="1:14" x14ac:dyDescent="0.55000000000000004">
      <c r="I91" s="315"/>
      <c r="J91" s="315"/>
      <c r="K91" s="315"/>
      <c r="L91" s="315"/>
      <c r="M91" s="315"/>
      <c r="N91" s="315"/>
    </row>
    <row r="92" spans="1:14" x14ac:dyDescent="0.55000000000000004">
      <c r="I92" s="315"/>
      <c r="J92" s="315"/>
      <c r="K92" s="315"/>
      <c r="L92" s="315"/>
      <c r="M92" s="315"/>
      <c r="N92" s="315"/>
    </row>
    <row r="93" spans="1:14" x14ac:dyDescent="0.55000000000000004">
      <c r="I93" s="315"/>
      <c r="J93" s="315"/>
      <c r="K93" s="315"/>
      <c r="L93" s="315"/>
      <c r="M93" s="315"/>
      <c r="N93" s="315"/>
    </row>
    <row r="94" spans="1:14" x14ac:dyDescent="0.55000000000000004">
      <c r="I94" s="315"/>
      <c r="J94" s="315"/>
      <c r="K94" s="315"/>
      <c r="L94" s="315"/>
      <c r="M94" s="315"/>
      <c r="N94" s="315"/>
    </row>
    <row r="100" spans="1:14" x14ac:dyDescent="0.55000000000000004">
      <c r="I100" s="327"/>
      <c r="J100" s="327"/>
      <c r="K100" s="327"/>
      <c r="L100" s="327"/>
      <c r="M100" s="327"/>
      <c r="N100" s="327"/>
    </row>
    <row r="101" spans="1:14" x14ac:dyDescent="0.55000000000000004">
      <c r="I101" s="315"/>
      <c r="J101" s="315"/>
      <c r="K101" s="315"/>
      <c r="L101" s="315"/>
      <c r="M101" s="315"/>
      <c r="N101" s="315"/>
    </row>
    <row r="102" spans="1:14" x14ac:dyDescent="0.55000000000000004">
      <c r="I102" s="315"/>
      <c r="J102" s="315"/>
      <c r="K102" s="315"/>
      <c r="L102" s="315"/>
      <c r="M102" s="315"/>
      <c r="N102" s="315"/>
    </row>
    <row r="103" spans="1:14" x14ac:dyDescent="0.55000000000000004">
      <c r="I103" s="315"/>
      <c r="J103" s="315"/>
      <c r="K103" s="315"/>
      <c r="L103" s="315"/>
      <c r="M103" s="315"/>
      <c r="N103" s="315"/>
    </row>
    <row r="104" spans="1:14" x14ac:dyDescent="0.55000000000000004">
      <c r="I104" s="315"/>
      <c r="J104" s="315"/>
      <c r="K104" s="315"/>
      <c r="L104" s="315"/>
      <c r="M104" s="315"/>
      <c r="N104" s="315"/>
    </row>
    <row r="105" spans="1:14" x14ac:dyDescent="0.55000000000000004">
      <c r="I105" s="315"/>
      <c r="J105" s="315"/>
      <c r="K105" s="315"/>
      <c r="L105" s="315"/>
      <c r="M105" s="315"/>
      <c r="N105" s="315"/>
    </row>
    <row r="106" spans="1:14" x14ac:dyDescent="0.55000000000000004">
      <c r="I106" s="315"/>
      <c r="J106" s="315"/>
      <c r="K106" s="315"/>
      <c r="L106" s="315"/>
      <c r="M106" s="315"/>
      <c r="N106" s="315"/>
    </row>
    <row r="107" spans="1:14" x14ac:dyDescent="0.55000000000000004">
      <c r="A107" s="315"/>
      <c r="B107" s="369"/>
      <c r="C107" s="315"/>
      <c r="I107" s="315"/>
      <c r="J107" s="315"/>
      <c r="K107" s="315"/>
      <c r="L107" s="315"/>
      <c r="M107" s="315"/>
      <c r="N107" s="315"/>
    </row>
    <row r="108" spans="1:14" x14ac:dyDescent="0.55000000000000004">
      <c r="A108" s="315"/>
      <c r="B108" s="369"/>
      <c r="C108" s="315"/>
      <c r="I108" s="315"/>
      <c r="J108" s="315"/>
      <c r="K108" s="315"/>
      <c r="L108" s="315"/>
      <c r="M108" s="315"/>
      <c r="N108" s="315"/>
    </row>
    <row r="109" spans="1:14" x14ac:dyDescent="0.55000000000000004">
      <c r="A109" s="315"/>
      <c r="B109" s="369"/>
      <c r="C109" s="315"/>
      <c r="I109" s="315"/>
      <c r="J109" s="315"/>
      <c r="K109" s="315"/>
      <c r="L109" s="315"/>
      <c r="M109" s="315"/>
      <c r="N109" s="315"/>
    </row>
    <row r="110" spans="1:14" x14ac:dyDescent="0.55000000000000004">
      <c r="A110" s="315"/>
      <c r="B110" s="369"/>
      <c r="C110" s="315"/>
      <c r="I110" s="315"/>
      <c r="J110" s="315"/>
      <c r="K110" s="315"/>
      <c r="L110" s="315"/>
      <c r="M110" s="315"/>
      <c r="N110" s="315"/>
    </row>
    <row r="111" spans="1:14" x14ac:dyDescent="0.55000000000000004">
      <c r="A111" s="315"/>
      <c r="B111" s="369"/>
      <c r="C111" s="315"/>
      <c r="I111" s="315"/>
      <c r="J111" s="315"/>
      <c r="K111" s="315"/>
      <c r="L111" s="315"/>
      <c r="M111" s="315"/>
      <c r="N111" s="315"/>
    </row>
    <row r="112" spans="1:14" x14ac:dyDescent="0.55000000000000004">
      <c r="A112" s="315"/>
      <c r="B112" s="369"/>
      <c r="C112" s="315"/>
      <c r="I112" s="315"/>
      <c r="J112" s="315"/>
      <c r="K112" s="315"/>
      <c r="L112" s="315"/>
      <c r="M112" s="315"/>
      <c r="N112" s="315"/>
    </row>
    <row r="113" spans="1:14" x14ac:dyDescent="0.55000000000000004">
      <c r="A113" s="315"/>
      <c r="B113" s="369"/>
      <c r="C113" s="315"/>
      <c r="I113" s="315"/>
      <c r="J113" s="315"/>
      <c r="K113" s="315"/>
      <c r="L113" s="315"/>
      <c r="M113" s="315"/>
      <c r="N113" s="315"/>
    </row>
    <row r="114" spans="1:14" x14ac:dyDescent="0.55000000000000004">
      <c r="A114" s="315"/>
      <c r="B114" s="369"/>
      <c r="C114" s="315"/>
      <c r="I114" s="315"/>
      <c r="J114" s="315"/>
      <c r="K114" s="315"/>
      <c r="L114" s="315"/>
      <c r="M114" s="315"/>
      <c r="N114" s="315"/>
    </row>
    <row r="115" spans="1:14" x14ac:dyDescent="0.55000000000000004">
      <c r="A115" s="315"/>
      <c r="B115" s="369"/>
      <c r="C115" s="315"/>
      <c r="I115" s="315"/>
      <c r="J115" s="315"/>
      <c r="K115" s="315"/>
      <c r="L115" s="315"/>
      <c r="M115" s="315"/>
      <c r="N115" s="315"/>
    </row>
    <row r="116" spans="1:14" x14ac:dyDescent="0.55000000000000004">
      <c r="I116" s="315"/>
      <c r="J116" s="315"/>
      <c r="K116" s="315"/>
      <c r="L116" s="315"/>
      <c r="M116" s="315"/>
      <c r="N116" s="315"/>
    </row>
    <row r="117" spans="1:14" x14ac:dyDescent="0.55000000000000004">
      <c r="I117" s="315"/>
      <c r="J117" s="315"/>
      <c r="K117" s="315"/>
      <c r="L117" s="315"/>
      <c r="M117" s="315"/>
      <c r="N117" s="315"/>
    </row>
    <row r="118" spans="1:14" x14ac:dyDescent="0.55000000000000004">
      <c r="I118" s="315"/>
      <c r="J118" s="315"/>
      <c r="K118" s="315"/>
      <c r="L118" s="315"/>
      <c r="M118" s="315"/>
      <c r="N118" s="315"/>
    </row>
    <row r="119" spans="1:14" x14ac:dyDescent="0.55000000000000004">
      <c r="I119" s="315"/>
      <c r="J119" s="315"/>
      <c r="K119" s="315"/>
      <c r="L119" s="315"/>
      <c r="M119" s="315"/>
      <c r="N119" s="315"/>
    </row>
    <row r="120" spans="1:14" x14ac:dyDescent="0.55000000000000004">
      <c r="I120" s="315"/>
      <c r="J120" s="315"/>
      <c r="K120" s="315"/>
      <c r="L120" s="315"/>
      <c r="M120" s="315"/>
      <c r="N120" s="315"/>
    </row>
    <row r="121" spans="1:14" x14ac:dyDescent="0.55000000000000004">
      <c r="I121" s="315"/>
      <c r="J121" s="315"/>
      <c r="K121" s="315"/>
      <c r="L121" s="315"/>
      <c r="M121" s="315"/>
      <c r="N121" s="315"/>
    </row>
    <row r="122" spans="1:14" x14ac:dyDescent="0.55000000000000004">
      <c r="I122" s="315"/>
      <c r="J122" s="315"/>
      <c r="K122" s="315"/>
      <c r="L122" s="315"/>
      <c r="M122" s="315"/>
      <c r="N122" s="315"/>
    </row>
    <row r="123" spans="1:14" x14ac:dyDescent="0.55000000000000004">
      <c r="I123" s="315"/>
      <c r="J123" s="315"/>
      <c r="K123" s="315"/>
      <c r="L123" s="315"/>
      <c r="M123" s="315"/>
      <c r="N123" s="315"/>
    </row>
    <row r="124" spans="1:14" x14ac:dyDescent="0.55000000000000004">
      <c r="I124" s="315"/>
      <c r="J124" s="315"/>
      <c r="K124" s="315"/>
      <c r="L124" s="315"/>
      <c r="M124" s="315"/>
      <c r="N124" s="315"/>
    </row>
    <row r="125" spans="1:14" x14ac:dyDescent="0.55000000000000004">
      <c r="I125" s="315"/>
      <c r="J125" s="315"/>
      <c r="K125" s="315"/>
      <c r="L125" s="315"/>
      <c r="M125" s="315"/>
      <c r="N125" s="315"/>
    </row>
    <row r="126" spans="1:14" x14ac:dyDescent="0.55000000000000004">
      <c r="I126" s="315"/>
      <c r="J126" s="315"/>
      <c r="K126" s="315"/>
      <c r="L126" s="315"/>
      <c r="M126" s="315"/>
      <c r="N126" s="315"/>
    </row>
    <row r="127" spans="1:14" ht="14.7" thickBot="1" x14ac:dyDescent="0.6">
      <c r="I127" s="315"/>
      <c r="J127" s="315"/>
      <c r="K127" s="315"/>
      <c r="L127" s="315"/>
      <c r="M127" s="315"/>
      <c r="N127" s="315"/>
    </row>
    <row r="128" spans="1:14" ht="18.600000000000001" thickBot="1" x14ac:dyDescent="0.75">
      <c r="A128" s="418" t="s">
        <v>701</v>
      </c>
      <c r="B128" s="390"/>
      <c r="C128" s="388"/>
      <c r="I128" s="315"/>
      <c r="J128" s="315"/>
      <c r="K128" s="315"/>
      <c r="L128" s="315"/>
      <c r="M128" s="315"/>
      <c r="N128" s="315"/>
    </row>
    <row r="129" spans="1:14" x14ac:dyDescent="0.55000000000000004">
      <c r="A129" s="411" t="s">
        <v>702</v>
      </c>
      <c r="B129" s="383">
        <f>Flyback_DCM_Calc!B56</f>
        <v>37.5</v>
      </c>
      <c r="C129" s="299" t="s">
        <v>5</v>
      </c>
      <c r="I129" s="315"/>
      <c r="J129" s="315"/>
      <c r="K129" s="315"/>
      <c r="L129" s="315"/>
      <c r="M129" s="315"/>
      <c r="N129" s="315"/>
    </row>
    <row r="130" spans="1:14" x14ac:dyDescent="0.55000000000000004">
      <c r="A130" s="354" t="s">
        <v>703</v>
      </c>
      <c r="B130" s="324">
        <f>Flyback_DCM_Calc!B57</f>
        <v>0</v>
      </c>
      <c r="C130" s="299" t="s">
        <v>5</v>
      </c>
    </row>
    <row r="131" spans="1:14" x14ac:dyDescent="0.55000000000000004">
      <c r="A131" s="354" t="s">
        <v>704</v>
      </c>
      <c r="B131" s="324">
        <f>Flyback_DCM_Calc!B58</f>
        <v>0</v>
      </c>
      <c r="C131" s="299" t="s">
        <v>5</v>
      </c>
    </row>
    <row r="132" spans="1:14" x14ac:dyDescent="0.55000000000000004">
      <c r="A132" s="354" t="s">
        <v>705</v>
      </c>
      <c r="B132" s="324">
        <f>Flyback_DCM_Calc!B59</f>
        <v>0</v>
      </c>
      <c r="C132" s="299" t="s">
        <v>5</v>
      </c>
    </row>
    <row r="133" spans="1:14" x14ac:dyDescent="0.55000000000000004">
      <c r="A133" s="354" t="s">
        <v>706</v>
      </c>
      <c r="B133" s="324">
        <f>Flyback_DCM_Calc!B60</f>
        <v>0</v>
      </c>
      <c r="C133" s="299" t="s">
        <v>5</v>
      </c>
    </row>
    <row r="134" spans="1:14" x14ac:dyDescent="0.55000000000000004">
      <c r="A134" s="354" t="s">
        <v>707</v>
      </c>
      <c r="B134" s="324">
        <f>Flyback_DCM_Calc!B61</f>
        <v>0</v>
      </c>
      <c r="C134" s="299" t="s">
        <v>5</v>
      </c>
    </row>
    <row r="135" spans="1:14" ht="14.7" thickBot="1" x14ac:dyDescent="0.6">
      <c r="A135" s="356" t="s">
        <v>708</v>
      </c>
      <c r="B135" s="326">
        <f>Flyback_DCM_Calc!B62</f>
        <v>0</v>
      </c>
      <c r="C135" s="305" t="s">
        <v>5</v>
      </c>
    </row>
    <row r="136" spans="1:14" ht="14.7" thickBot="1" x14ac:dyDescent="0.6"/>
    <row r="137" spans="1:14" ht="18.600000000000001" thickBot="1" x14ac:dyDescent="0.75">
      <c r="A137" s="497" t="s">
        <v>288</v>
      </c>
      <c r="B137" s="498"/>
      <c r="C137" s="499"/>
    </row>
    <row r="138" spans="1:14" x14ac:dyDescent="0.55000000000000004">
      <c r="A138" s="411" t="s">
        <v>298</v>
      </c>
      <c r="B138" s="375">
        <f>Flyback_DCM_Calc!B41*(10^6)</f>
        <v>76.928899352295147</v>
      </c>
      <c r="C138" s="376" t="s">
        <v>951</v>
      </c>
    </row>
    <row r="139" spans="1:14" x14ac:dyDescent="0.55000000000000004">
      <c r="A139" s="411" t="s">
        <v>299</v>
      </c>
      <c r="B139" s="286">
        <v>130</v>
      </c>
      <c r="C139" s="362" t="s">
        <v>951</v>
      </c>
    </row>
    <row r="140" spans="1:14" ht="14.7" thickBot="1" x14ac:dyDescent="0.6">
      <c r="A140" s="411" t="s">
        <v>690</v>
      </c>
      <c r="B140" s="290">
        <v>10</v>
      </c>
      <c r="C140" s="363" t="s">
        <v>422</v>
      </c>
    </row>
    <row r="141" spans="1:14" x14ac:dyDescent="0.55000000000000004">
      <c r="A141" s="351" t="s">
        <v>300</v>
      </c>
      <c r="B141" s="359">
        <f>Flyback_DCM_Calc!B43*(10^6)</f>
        <v>0</v>
      </c>
      <c r="C141" s="361" t="s">
        <v>951</v>
      </c>
    </row>
    <row r="142" spans="1:14" x14ac:dyDescent="0.55000000000000004">
      <c r="A142" s="354" t="s">
        <v>301</v>
      </c>
      <c r="B142" s="286">
        <v>0</v>
      </c>
      <c r="C142" s="362" t="s">
        <v>951</v>
      </c>
    </row>
    <row r="143" spans="1:14" ht="14.7" thickBot="1" x14ac:dyDescent="0.6">
      <c r="A143" s="356" t="s">
        <v>691</v>
      </c>
      <c r="B143" s="290">
        <v>10</v>
      </c>
      <c r="C143" s="363" t="s">
        <v>422</v>
      </c>
    </row>
    <row r="144" spans="1:14" x14ac:dyDescent="0.55000000000000004">
      <c r="A144" s="351" t="s">
        <v>302</v>
      </c>
      <c r="B144" s="359">
        <f>Flyback_DCM_Calc!B45*(10^6)</f>
        <v>0</v>
      </c>
      <c r="C144" s="361" t="s">
        <v>951</v>
      </c>
    </row>
    <row r="145" spans="1:14" x14ac:dyDescent="0.55000000000000004">
      <c r="A145" s="354" t="s">
        <v>303</v>
      </c>
      <c r="B145" s="286">
        <v>0</v>
      </c>
      <c r="C145" s="362" t="s">
        <v>951</v>
      </c>
    </row>
    <row r="146" spans="1:14" ht="14.7" thickBot="1" x14ac:dyDescent="0.6">
      <c r="A146" s="356" t="s">
        <v>692</v>
      </c>
      <c r="B146" s="290">
        <v>10</v>
      </c>
      <c r="C146" s="363" t="s">
        <v>422</v>
      </c>
    </row>
    <row r="147" spans="1:14" x14ac:dyDescent="0.55000000000000004">
      <c r="A147" s="351" t="s">
        <v>304</v>
      </c>
      <c r="B147" s="359">
        <f>Flyback_DCM_Calc!B47*(10^6)</f>
        <v>0</v>
      </c>
      <c r="C147" s="361" t="s">
        <v>951</v>
      </c>
    </row>
    <row r="148" spans="1:14" x14ac:dyDescent="0.55000000000000004">
      <c r="A148" s="354" t="s">
        <v>305</v>
      </c>
      <c r="B148" s="286">
        <v>0</v>
      </c>
      <c r="C148" s="362" t="s">
        <v>951</v>
      </c>
    </row>
    <row r="149" spans="1:14" ht="14.7" thickBot="1" x14ac:dyDescent="0.6">
      <c r="A149" s="356" t="s">
        <v>693</v>
      </c>
      <c r="B149" s="290">
        <v>10</v>
      </c>
      <c r="C149" s="363" t="s">
        <v>422</v>
      </c>
    </row>
    <row r="150" spans="1:14" x14ac:dyDescent="0.55000000000000004">
      <c r="A150" s="351" t="s">
        <v>306</v>
      </c>
      <c r="B150" s="359">
        <f>Flyback_DCM_Calc!B49*(10^6)</f>
        <v>0</v>
      </c>
      <c r="C150" s="361" t="s">
        <v>951</v>
      </c>
    </row>
    <row r="151" spans="1:14" x14ac:dyDescent="0.55000000000000004">
      <c r="A151" s="354" t="s">
        <v>307</v>
      </c>
      <c r="B151" s="286">
        <v>0</v>
      </c>
      <c r="C151" s="362" t="s">
        <v>951</v>
      </c>
    </row>
    <row r="152" spans="1:14" ht="14.7" thickBot="1" x14ac:dyDescent="0.6">
      <c r="A152" s="356" t="s">
        <v>694</v>
      </c>
      <c r="B152" s="290">
        <v>10</v>
      </c>
      <c r="C152" s="363" t="s">
        <v>422</v>
      </c>
    </row>
    <row r="153" spans="1:14" x14ac:dyDescent="0.55000000000000004">
      <c r="A153" s="351" t="s">
        <v>308</v>
      </c>
      <c r="B153" s="359">
        <f>Flyback_DCM_Calc!B51*(10^6)</f>
        <v>0</v>
      </c>
      <c r="C153" s="361" t="s">
        <v>951</v>
      </c>
      <c r="I153" s="315"/>
      <c r="J153" s="315"/>
      <c r="K153" s="315"/>
      <c r="L153" s="315"/>
      <c r="M153" s="315"/>
      <c r="N153" s="315"/>
    </row>
    <row r="154" spans="1:14" x14ac:dyDescent="0.55000000000000004">
      <c r="A154" s="354" t="s">
        <v>309</v>
      </c>
      <c r="B154" s="286">
        <v>0</v>
      </c>
      <c r="C154" s="362" t="s">
        <v>951</v>
      </c>
      <c r="I154" s="315"/>
      <c r="J154" s="315"/>
      <c r="K154" s="315"/>
      <c r="L154" s="315"/>
      <c r="M154" s="315"/>
      <c r="N154" s="315"/>
    </row>
    <row r="155" spans="1:14" ht="14.7" thickBot="1" x14ac:dyDescent="0.6">
      <c r="A155" s="356" t="s">
        <v>695</v>
      </c>
      <c r="B155" s="290">
        <v>10</v>
      </c>
      <c r="C155" s="363" t="s">
        <v>422</v>
      </c>
      <c r="I155" s="315"/>
      <c r="J155" s="315"/>
      <c r="K155" s="327"/>
      <c r="L155" s="327"/>
      <c r="M155" s="327"/>
      <c r="N155" s="327"/>
    </row>
    <row r="156" spans="1:14" x14ac:dyDescent="0.55000000000000004">
      <c r="A156" s="351" t="s">
        <v>697</v>
      </c>
      <c r="B156" s="359">
        <f>Flyback_DCM_Calc!B53*(10^6)</f>
        <v>0</v>
      </c>
      <c r="C156" s="361" t="s">
        <v>951</v>
      </c>
      <c r="I156" s="315"/>
      <c r="J156" s="315"/>
      <c r="K156" s="315"/>
      <c r="L156" s="315"/>
      <c r="M156" s="315"/>
      <c r="N156" s="315"/>
    </row>
    <row r="157" spans="1:14" x14ac:dyDescent="0.55000000000000004">
      <c r="A157" s="354" t="s">
        <v>698</v>
      </c>
      <c r="B157" s="286">
        <v>4</v>
      </c>
      <c r="C157" s="362" t="s">
        <v>951</v>
      </c>
      <c r="I157" s="315"/>
      <c r="J157" s="315"/>
      <c r="K157" s="315"/>
      <c r="L157" s="315"/>
      <c r="M157" s="315"/>
      <c r="N157" s="315"/>
    </row>
    <row r="158" spans="1:14" ht="14.7" thickBot="1" x14ac:dyDescent="0.6">
      <c r="A158" s="356" t="s">
        <v>696</v>
      </c>
      <c r="B158" s="290">
        <v>10</v>
      </c>
      <c r="C158" s="363" t="s">
        <v>422</v>
      </c>
      <c r="I158" s="315"/>
      <c r="J158" s="315"/>
      <c r="K158" s="315"/>
      <c r="L158" s="315"/>
      <c r="M158" s="315"/>
      <c r="N158" s="315"/>
    </row>
    <row r="159" spans="1:14" x14ac:dyDescent="0.55000000000000004">
      <c r="I159" s="315"/>
      <c r="J159" s="315"/>
      <c r="K159" s="315"/>
      <c r="L159" s="315"/>
      <c r="M159" s="315"/>
      <c r="N159" s="315"/>
    </row>
    <row r="160" spans="1:14" x14ac:dyDescent="0.55000000000000004">
      <c r="I160" s="315"/>
      <c r="J160" s="315"/>
      <c r="K160" s="315"/>
      <c r="L160" s="315"/>
      <c r="M160" s="315"/>
      <c r="N160" s="315"/>
    </row>
    <row r="161" spans="1:3" ht="14.7" thickBot="1" x14ac:dyDescent="0.6"/>
    <row r="162" spans="1:3" ht="18.600000000000001" thickBot="1" x14ac:dyDescent="0.75">
      <c r="A162" s="497" t="s">
        <v>494</v>
      </c>
      <c r="B162" s="498"/>
      <c r="C162" s="499"/>
    </row>
    <row r="163" spans="1:3" ht="14.7" thickBot="1" x14ac:dyDescent="0.6">
      <c r="A163" s="526" t="s">
        <v>774</v>
      </c>
      <c r="B163" s="532"/>
      <c r="C163" s="527"/>
    </row>
    <row r="164" spans="1:3" x14ac:dyDescent="0.55000000000000004">
      <c r="A164" s="354" t="s">
        <v>677</v>
      </c>
      <c r="B164" s="383">
        <f>Fsw/10/1000</f>
        <v>30</v>
      </c>
      <c r="C164" s="376" t="s">
        <v>8</v>
      </c>
    </row>
    <row r="165" spans="1:3" x14ac:dyDescent="0.55000000000000004">
      <c r="A165" s="354" t="s">
        <v>678</v>
      </c>
      <c r="B165" s="286">
        <v>10</v>
      </c>
      <c r="C165" s="362" t="s">
        <v>8</v>
      </c>
    </row>
    <row r="166" spans="1:3" x14ac:dyDescent="0.55000000000000004">
      <c r="A166" s="354" t="s">
        <v>679</v>
      </c>
      <c r="B166" s="355">
        <f>Flyback_DCM_Calc!B112/(2*PI())/1000/10</f>
        <v>12.242687930145795</v>
      </c>
      <c r="C166" s="362" t="s">
        <v>8</v>
      </c>
    </row>
    <row r="167" spans="1:3" x14ac:dyDescent="0.55000000000000004">
      <c r="A167" s="354" t="s">
        <v>680</v>
      </c>
      <c r="B167" s="286">
        <v>12.243</v>
      </c>
      <c r="C167" s="362" t="s">
        <v>8</v>
      </c>
    </row>
    <row r="168" spans="1:3" x14ac:dyDescent="0.55000000000000004">
      <c r="A168" s="354" t="s">
        <v>685</v>
      </c>
      <c r="B168" s="355">
        <f>Flyback_DCM_Calc!B111/(2*PI())/1000</f>
        <v>8.1617919534305305E-2</v>
      </c>
      <c r="C168" s="362" t="s">
        <v>8</v>
      </c>
    </row>
    <row r="169" spans="1:3" ht="14.7" thickBot="1" x14ac:dyDescent="0.6">
      <c r="A169" s="356" t="s">
        <v>686</v>
      </c>
      <c r="B169" s="290">
        <v>0.245</v>
      </c>
      <c r="C169" s="363" t="s">
        <v>8</v>
      </c>
    </row>
    <row r="171" spans="1:3" ht="14.7" thickBot="1" x14ac:dyDescent="0.6"/>
    <row r="172" spans="1:3" ht="18.600000000000001" thickBot="1" x14ac:dyDescent="0.75">
      <c r="A172" s="497" t="s">
        <v>956</v>
      </c>
      <c r="B172" s="498"/>
      <c r="C172" s="499"/>
    </row>
    <row r="173" spans="1:3" ht="14.7" thickBot="1" x14ac:dyDescent="0.6">
      <c r="A173" s="526" t="s">
        <v>964</v>
      </c>
      <c r="B173" s="532"/>
      <c r="C173" s="527"/>
    </row>
    <row r="174" spans="1:3" x14ac:dyDescent="0.55000000000000004">
      <c r="A174" s="354" t="s">
        <v>721</v>
      </c>
      <c r="B174" s="435">
        <f>Flyback_DCM_Calc!B91</f>
        <v>6</v>
      </c>
      <c r="C174" s="381" t="s">
        <v>5</v>
      </c>
    </row>
    <row r="175" spans="1:3" ht="14.7" thickBot="1" x14ac:dyDescent="0.6">
      <c r="A175" s="354" t="s">
        <v>725</v>
      </c>
      <c r="B175" s="324">
        <f>Flyback_DCM_Calc!B92</f>
        <v>4700</v>
      </c>
      <c r="C175" s="381" t="s">
        <v>246</v>
      </c>
    </row>
    <row r="176" spans="1:3" ht="14.7" thickBot="1" x14ac:dyDescent="0.6">
      <c r="A176" s="526" t="s">
        <v>961</v>
      </c>
      <c r="B176" s="532"/>
      <c r="C176" s="527"/>
    </row>
    <row r="177" spans="1:3" ht="14.7" thickBot="1" x14ac:dyDescent="0.6">
      <c r="A177" s="354" t="s">
        <v>728</v>
      </c>
      <c r="B177" s="286">
        <v>1.25</v>
      </c>
      <c r="C177" s="362" t="s">
        <v>5</v>
      </c>
    </row>
    <row r="178" spans="1:3" ht="14.7" thickBot="1" x14ac:dyDescent="0.6">
      <c r="A178" s="408" t="s">
        <v>675</v>
      </c>
      <c r="B178" s="349"/>
      <c r="C178" s="350"/>
    </row>
    <row r="179" spans="1:3" x14ac:dyDescent="0.55000000000000004">
      <c r="A179" s="354" t="s">
        <v>687</v>
      </c>
      <c r="B179" s="285">
        <v>1.5</v>
      </c>
      <c r="C179" s="376" t="s">
        <v>508</v>
      </c>
    </row>
    <row r="180" spans="1:3" ht="14.7" thickBot="1" x14ac:dyDescent="0.6">
      <c r="A180" s="354" t="s">
        <v>688</v>
      </c>
      <c r="B180" s="286">
        <v>1</v>
      </c>
      <c r="C180" s="362" t="s">
        <v>5</v>
      </c>
    </row>
    <row r="181" spans="1:3" ht="14.7" thickBot="1" x14ac:dyDescent="0.6">
      <c r="A181" s="526" t="s">
        <v>1009</v>
      </c>
      <c r="B181" s="532"/>
      <c r="C181" s="527"/>
    </row>
    <row r="182" spans="1:3" ht="16.8" x14ac:dyDescent="0.75">
      <c r="A182" s="354" t="s">
        <v>980</v>
      </c>
      <c r="B182" s="286">
        <v>10</v>
      </c>
      <c r="C182" s="362" t="s">
        <v>474</v>
      </c>
    </row>
    <row r="183" spans="1:3" ht="16.8" x14ac:dyDescent="0.75">
      <c r="A183" s="354" t="s">
        <v>981</v>
      </c>
      <c r="B183" s="431">
        <f>(((B182*1000)*B177)/(ABS(Vout1)-B177))/1000</f>
        <v>0.90909090909090917</v>
      </c>
      <c r="C183" s="362" t="s">
        <v>474</v>
      </c>
    </row>
    <row r="184" spans="1:3" ht="17.100000000000001" thickBot="1" x14ac:dyDescent="0.8">
      <c r="A184" s="354" t="s">
        <v>982</v>
      </c>
      <c r="B184" s="290">
        <v>1.1599999999999999</v>
      </c>
      <c r="C184" s="363" t="s">
        <v>474</v>
      </c>
    </row>
    <row r="185" spans="1:3" ht="14.7" thickBot="1" x14ac:dyDescent="0.6">
      <c r="A185" s="526" t="s">
        <v>639</v>
      </c>
      <c r="B185" s="532"/>
      <c r="C185" s="527"/>
    </row>
    <row r="186" spans="1:3" ht="16.8" x14ac:dyDescent="0.75">
      <c r="A186" s="354" t="s">
        <v>977</v>
      </c>
      <c r="B186" s="451">
        <f>Flyback_DCM_Calc!B123/1000</f>
        <v>14.981249999999999</v>
      </c>
      <c r="C186" s="452" t="s">
        <v>730</v>
      </c>
    </row>
    <row r="187" spans="1:3" ht="16.8" x14ac:dyDescent="0.75">
      <c r="A187" s="354" t="s">
        <v>978</v>
      </c>
      <c r="B187" s="377">
        <f>Flyback_DCM_Calc!B124/1000</f>
        <v>12.386224801307192</v>
      </c>
      <c r="C187" s="381" t="s">
        <v>730</v>
      </c>
    </row>
    <row r="188" spans="1:3" ht="16.8" x14ac:dyDescent="0.75">
      <c r="A188" s="354" t="s">
        <v>979</v>
      </c>
      <c r="B188" s="286">
        <v>16.87</v>
      </c>
      <c r="C188" s="381" t="s">
        <v>730</v>
      </c>
    </row>
    <row r="189" spans="1:3" ht="16.8" x14ac:dyDescent="0.75">
      <c r="A189" s="354" t="s">
        <v>990</v>
      </c>
      <c r="B189" s="377">
        <f>Flyback_DCM_Calc!B126*(10^9)</f>
        <v>64.961201261998099</v>
      </c>
      <c r="C189" s="362" t="s">
        <v>445</v>
      </c>
    </row>
    <row r="190" spans="1:3" ht="16.8" x14ac:dyDescent="0.75">
      <c r="A190" s="354" t="s">
        <v>991</v>
      </c>
      <c r="B190" s="286">
        <v>64</v>
      </c>
      <c r="C190" s="362" t="s">
        <v>445</v>
      </c>
    </row>
    <row r="191" spans="1:3" ht="16.8" x14ac:dyDescent="0.75">
      <c r="A191" s="354" t="s">
        <v>992</v>
      </c>
      <c r="B191" s="355">
        <f>Flyback_DCM_Calc!B128*(10^9)</f>
        <v>2.7658869435056306</v>
      </c>
      <c r="C191" s="362" t="s">
        <v>445</v>
      </c>
    </row>
    <row r="192" spans="1:3" ht="16.8" x14ac:dyDescent="0.75">
      <c r="A192" s="354" t="s">
        <v>993</v>
      </c>
      <c r="B192" s="286">
        <v>2.2000000000000002</v>
      </c>
      <c r="C192" s="362" t="s">
        <v>445</v>
      </c>
    </row>
    <row r="193" spans="1:3" x14ac:dyDescent="0.55000000000000004">
      <c r="A193" s="354" t="s">
        <v>734</v>
      </c>
      <c r="B193" s="355">
        <f>(1/(2*PI()*B190*(10^-9)*1000*B182))/1000</f>
        <v>0.24867959858108646</v>
      </c>
      <c r="C193" s="362" t="s">
        <v>8</v>
      </c>
    </row>
    <row r="194" spans="1:3" ht="14.7" thickBot="1" x14ac:dyDescent="0.6">
      <c r="A194" s="356" t="s">
        <v>733</v>
      </c>
      <c r="B194" s="357">
        <f>1/(2*PI()*B192*(10^-9)*B175)/1000</f>
        <v>15.392160840608833</v>
      </c>
      <c r="C194" s="363" t="s">
        <v>8</v>
      </c>
    </row>
    <row r="197" spans="1:3" x14ac:dyDescent="0.55000000000000004">
      <c r="A197" s="315"/>
      <c r="B197" s="315"/>
      <c r="C197" s="385"/>
    </row>
    <row r="198" spans="1:3" ht="14.7" thickBot="1" x14ac:dyDescent="0.6">
      <c r="A198" s="315"/>
      <c r="B198" s="315"/>
      <c r="C198" s="385"/>
    </row>
    <row r="199" spans="1:3" ht="18.600000000000001" thickBot="1" x14ac:dyDescent="0.75">
      <c r="A199" s="559" t="s">
        <v>737</v>
      </c>
      <c r="B199" s="560"/>
      <c r="C199" s="561"/>
    </row>
    <row r="200" spans="1:3" ht="14.7" thickBot="1" x14ac:dyDescent="0.6">
      <c r="A200" s="564" t="s">
        <v>954</v>
      </c>
      <c r="B200" s="565"/>
      <c r="C200" s="566"/>
    </row>
    <row r="201" spans="1:3" x14ac:dyDescent="0.55000000000000004">
      <c r="A201" s="421" t="s">
        <v>727</v>
      </c>
      <c r="B201" s="379">
        <f>Flyback_DCM_Calc!B78</f>
        <v>1.2749999999999999</v>
      </c>
      <c r="C201" s="419" t="s">
        <v>5</v>
      </c>
    </row>
    <row r="202" spans="1:3" x14ac:dyDescent="0.55000000000000004">
      <c r="A202" s="354" t="s">
        <v>676</v>
      </c>
      <c r="B202" s="403">
        <v>10</v>
      </c>
      <c r="C202" s="362" t="s">
        <v>474</v>
      </c>
    </row>
    <row r="203" spans="1:3" x14ac:dyDescent="0.55000000000000004">
      <c r="A203" s="354" t="s">
        <v>943</v>
      </c>
      <c r="B203" s="433">
        <f>(((B202*1000)*B201)/(ABS(Vout1)-B201))/1000</f>
        <v>0.92896174863387981</v>
      </c>
      <c r="C203" s="362" t="s">
        <v>474</v>
      </c>
    </row>
    <row r="204" spans="1:3" ht="14.7" thickBot="1" x14ac:dyDescent="0.6">
      <c r="A204" s="354" t="s">
        <v>788</v>
      </c>
      <c r="B204" s="422">
        <v>1.2</v>
      </c>
      <c r="C204" s="420" t="s">
        <v>474</v>
      </c>
    </row>
    <row r="205" spans="1:3" ht="14.7" thickBot="1" x14ac:dyDescent="0.6">
      <c r="A205" s="529" t="s">
        <v>955</v>
      </c>
      <c r="B205" s="530"/>
      <c r="C205" s="531"/>
    </row>
    <row r="206" spans="1:3" x14ac:dyDescent="0.55000000000000004">
      <c r="A206" s="354" t="s">
        <v>738</v>
      </c>
      <c r="B206" s="423">
        <f>(B169/(B167*1000*B182*Flyback_DCM_Calc!B136))*(10^9)</f>
        <v>6.8540433728792625</v>
      </c>
      <c r="C206" s="376" t="s">
        <v>445</v>
      </c>
    </row>
    <row r="207" spans="1:3" x14ac:dyDescent="0.55000000000000004">
      <c r="A207" s="354" t="s">
        <v>739</v>
      </c>
      <c r="B207" s="403">
        <v>44</v>
      </c>
      <c r="C207" s="362" t="s">
        <v>445</v>
      </c>
    </row>
    <row r="208" spans="1:3" x14ac:dyDescent="0.55000000000000004">
      <c r="A208" s="354" t="s">
        <v>740</v>
      </c>
      <c r="B208" s="395">
        <f>(1/(Flyback_DCM_Calc!B136*'Flyback DCM'!B182*1000))*(10^9)-B206</f>
        <v>335.6522954604302</v>
      </c>
      <c r="C208" s="362" t="s">
        <v>445</v>
      </c>
    </row>
    <row r="209" spans="1:3" x14ac:dyDescent="0.55000000000000004">
      <c r="A209" s="354" t="s">
        <v>741</v>
      </c>
      <c r="B209" s="403">
        <v>820</v>
      </c>
      <c r="C209" s="362" t="s">
        <v>445</v>
      </c>
    </row>
    <row r="210" spans="1:3" x14ac:dyDescent="0.55000000000000004">
      <c r="A210" s="354" t="s">
        <v>944</v>
      </c>
      <c r="B210" s="395">
        <f>1/(2*PI()*B169*1000*B208*(10^-9))/1000</f>
        <v>1.9353718756157385</v>
      </c>
      <c r="C210" s="381" t="s">
        <v>730</v>
      </c>
    </row>
    <row r="211" spans="1:3" x14ac:dyDescent="0.55000000000000004">
      <c r="A211" s="354" t="s">
        <v>742</v>
      </c>
      <c r="B211" s="403">
        <v>0.29199999999999998</v>
      </c>
      <c r="C211" s="381" t="s">
        <v>730</v>
      </c>
    </row>
    <row r="212" spans="1:3" x14ac:dyDescent="0.55000000000000004">
      <c r="A212" s="354" t="s">
        <v>733</v>
      </c>
      <c r="B212" s="395">
        <f>1/(2*PI()*B211*1000*B207*(10^-9))/1000</f>
        <v>12.387526703914645</v>
      </c>
      <c r="C212" s="381" t="s">
        <v>8</v>
      </c>
    </row>
    <row r="213" spans="1:3" ht="14.7" thickBot="1" x14ac:dyDescent="0.6">
      <c r="A213" s="356" t="s">
        <v>734</v>
      </c>
      <c r="B213" s="399">
        <f>1/(2*PI()*B211*1000*B209*(10^-9))/1000</f>
        <v>0.66469655484420043</v>
      </c>
      <c r="C213" s="406" t="s">
        <v>8</v>
      </c>
    </row>
  </sheetData>
  <sheetProtection password="E1A4" sheet="1" objects="1" scenarios="1"/>
  <mergeCells count="26">
    <mergeCell ref="A200:C200"/>
    <mergeCell ref="A205:C205"/>
    <mergeCell ref="A172:C172"/>
    <mergeCell ref="A162:C162"/>
    <mergeCell ref="A163:C163"/>
    <mergeCell ref="A185:C185"/>
    <mergeCell ref="A35:C35"/>
    <mergeCell ref="B36:C36"/>
    <mergeCell ref="B37:C37"/>
    <mergeCell ref="A137:C137"/>
    <mergeCell ref="A199:C199"/>
    <mergeCell ref="A75:C75"/>
    <mergeCell ref="A69:C69"/>
    <mergeCell ref="B38:C38"/>
    <mergeCell ref="B39:C39"/>
    <mergeCell ref="B41:C41"/>
    <mergeCell ref="A63:C63"/>
    <mergeCell ref="B40:C40"/>
    <mergeCell ref="A173:C173"/>
    <mergeCell ref="A176:C176"/>
    <mergeCell ref="A181:C181"/>
    <mergeCell ref="A15:H15"/>
    <mergeCell ref="A30:C30"/>
    <mergeCell ref="A25:C25"/>
    <mergeCell ref="A1:XFD2"/>
    <mergeCell ref="E6:G6"/>
  </mergeCells>
  <conditionalFormatting sqref="B36:C40">
    <cfRule type="cellIs" dxfId="8" priority="1" operator="equal">
      <formula>0</formula>
    </cfRule>
    <cfRule type="cellIs" dxfId="7" priority="2" operator="equal">
      <formula>1</formula>
    </cfRule>
  </conditionalFormatting>
  <dataValidations count="1">
    <dataValidation type="list" showInputMessage="1" showErrorMessage="1" sqref="B41">
      <formula1>Flyback_Parts</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40968" r:id="rId4">
          <objectPr defaultSize="0" autoPict="0" r:id="rId5">
            <anchor moveWithCells="1">
              <from>
                <xdr:col>0</xdr:col>
                <xdr:colOff>0</xdr:colOff>
                <xdr:row>3</xdr:row>
                <xdr:rowOff>76200</xdr:rowOff>
              </from>
              <to>
                <xdr:col>3</xdr:col>
                <xdr:colOff>495300</xdr:colOff>
                <xdr:row>13</xdr:row>
                <xdr:rowOff>30480</xdr:rowOff>
              </to>
            </anchor>
          </objectPr>
        </oleObject>
      </mc:Choice>
      <mc:Fallback>
        <oleObject progId="Visio.Drawing.11" shapeId="40968" r:id="rId4"/>
      </mc:Fallback>
    </mc:AlternateContent>
    <mc:AlternateContent xmlns:mc="http://schemas.openxmlformats.org/markup-compatibility/2006">
      <mc:Choice Requires="x14">
        <oleObject progId="Visio.Drawing.11" shapeId="40969" r:id="rId6">
          <objectPr defaultSize="0" autoPict="0" r:id="rId7">
            <anchor moveWithCells="1">
              <from>
                <xdr:col>4</xdr:col>
                <xdr:colOff>11430</xdr:colOff>
                <xdr:row>68</xdr:row>
                <xdr:rowOff>0</xdr:rowOff>
              </from>
              <to>
                <xdr:col>9</xdr:col>
                <xdr:colOff>571500</xdr:colOff>
                <xdr:row>82</xdr:row>
                <xdr:rowOff>114300</xdr:rowOff>
              </to>
            </anchor>
          </objectPr>
        </oleObject>
      </mc:Choice>
      <mc:Fallback>
        <oleObject progId="Visio.Drawing.11" shapeId="40969"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121"/>
  <sheetViews>
    <sheetView topLeftCell="A20" zoomScaleNormal="100" workbookViewId="0">
      <selection activeCell="G117" sqref="G117"/>
    </sheetView>
  </sheetViews>
  <sheetFormatPr defaultRowHeight="14.4" x14ac:dyDescent="0.55000000000000004"/>
  <cols>
    <col min="1" max="1" width="24.83984375" bestFit="1" customWidth="1"/>
    <col min="2" max="2" width="10.26171875" customWidth="1"/>
    <col min="3" max="3" width="2.41796875" customWidth="1"/>
    <col min="4" max="4" width="11" bestFit="1" customWidth="1"/>
    <col min="6" max="6" width="12" bestFit="1" customWidth="1"/>
    <col min="16" max="16" width="10" bestFit="1" customWidth="1"/>
    <col min="17" max="17" width="11" bestFit="1" customWidth="1"/>
    <col min="18" max="18" width="12" bestFit="1" customWidth="1"/>
    <col min="82" max="82" width="8.83984375" customWidth="1"/>
    <col min="83" max="83" width="11.83984375" customWidth="1"/>
    <col min="84" max="84" width="11.41796875" customWidth="1"/>
    <col min="85" max="85" width="12.26171875" customWidth="1"/>
    <col min="86" max="86" width="11.578125" customWidth="1"/>
    <col min="87" max="87" width="10.15625" customWidth="1"/>
    <col min="88" max="96" width="9.15625" customWidth="1"/>
    <col min="97" max="99" width="11.83984375" customWidth="1"/>
  </cols>
  <sheetData>
    <row r="1" spans="1:100" ht="15.75" thickBot="1" x14ac:dyDescent="0.3">
      <c r="K1" t="s">
        <v>165</v>
      </c>
    </row>
    <row r="2" spans="1:100" ht="15.75" thickBot="1" x14ac:dyDescent="0.3">
      <c r="K2" t="s">
        <v>27</v>
      </c>
      <c r="L2" s="134"/>
      <c r="M2" s="235"/>
      <c r="N2" s="235" t="s">
        <v>30</v>
      </c>
      <c r="O2" s="235"/>
      <c r="P2" s="235"/>
      <c r="Q2" s="235"/>
      <c r="R2" s="235"/>
      <c r="S2" s="235"/>
      <c r="T2" s="235"/>
      <c r="U2" s="235"/>
      <c r="V2" s="235"/>
      <c r="W2" s="235"/>
      <c r="X2" s="235"/>
      <c r="Y2" s="235"/>
      <c r="Z2" s="235" t="s">
        <v>345</v>
      </c>
      <c r="AA2" s="235"/>
      <c r="AB2" s="235"/>
      <c r="AC2" s="235"/>
      <c r="AD2" s="235" t="s">
        <v>346</v>
      </c>
      <c r="AE2" s="235"/>
      <c r="AF2" s="235"/>
      <c r="AG2" s="235"/>
      <c r="AH2" s="235" t="s">
        <v>331</v>
      </c>
      <c r="AI2" s="235"/>
      <c r="AJ2" s="235"/>
      <c r="AK2" s="235"/>
      <c r="AL2" s="235" t="s">
        <v>347</v>
      </c>
      <c r="AM2" s="235"/>
      <c r="AN2" s="235"/>
      <c r="AO2" s="235"/>
      <c r="AP2" s="235" t="s">
        <v>348</v>
      </c>
      <c r="AQ2" s="235"/>
      <c r="AR2" s="235"/>
      <c r="AS2" s="235"/>
      <c r="AT2" s="235" t="s">
        <v>349</v>
      </c>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567" t="s">
        <v>590</v>
      </c>
      <c r="CG2" s="567"/>
      <c r="CH2" s="567"/>
      <c r="CI2" s="567"/>
      <c r="CJ2" s="567"/>
      <c r="CK2" s="567"/>
      <c r="CL2" s="567" t="s">
        <v>552</v>
      </c>
      <c r="CM2" s="567"/>
      <c r="CN2" s="567"/>
      <c r="CO2" s="567"/>
      <c r="CP2" s="567"/>
      <c r="CQ2" s="567"/>
      <c r="CR2" s="567"/>
      <c r="CS2" s="235"/>
      <c r="CT2" s="235"/>
      <c r="CU2" s="135"/>
    </row>
    <row r="3" spans="1:100" s="14" customFormat="1" ht="75.75" thickBot="1" x14ac:dyDescent="0.3">
      <c r="K3" s="14" t="s">
        <v>19</v>
      </c>
      <c r="L3" s="66" t="s">
        <v>10</v>
      </c>
      <c r="M3" s="68" t="s">
        <v>344</v>
      </c>
      <c r="N3" s="66" t="s">
        <v>51</v>
      </c>
      <c r="O3" s="67" t="s">
        <v>50</v>
      </c>
      <c r="P3" s="68" t="s">
        <v>52</v>
      </c>
      <c r="Q3" s="129" t="s">
        <v>48</v>
      </c>
      <c r="R3" s="66" t="s">
        <v>49</v>
      </c>
      <c r="S3" s="67" t="s">
        <v>76</v>
      </c>
      <c r="T3" s="67" t="s">
        <v>77</v>
      </c>
      <c r="U3" s="67" t="s">
        <v>318</v>
      </c>
      <c r="V3" s="68" t="s">
        <v>138</v>
      </c>
      <c r="W3" s="67" t="s">
        <v>384</v>
      </c>
      <c r="X3" s="66" t="s">
        <v>321</v>
      </c>
      <c r="Y3" s="67" t="s">
        <v>322</v>
      </c>
      <c r="Z3" s="67" t="s">
        <v>113</v>
      </c>
      <c r="AA3" s="68" t="s">
        <v>332</v>
      </c>
      <c r="AB3" s="66" t="s">
        <v>319</v>
      </c>
      <c r="AC3" s="67" t="s">
        <v>320</v>
      </c>
      <c r="AD3" s="67" t="s">
        <v>114</v>
      </c>
      <c r="AE3" s="68" t="s">
        <v>334</v>
      </c>
      <c r="AF3" s="66" t="s">
        <v>323</v>
      </c>
      <c r="AG3" s="67" t="s">
        <v>324</v>
      </c>
      <c r="AH3" s="67" t="s">
        <v>115</v>
      </c>
      <c r="AI3" s="68" t="s">
        <v>335</v>
      </c>
      <c r="AJ3" s="66" t="s">
        <v>325</v>
      </c>
      <c r="AK3" s="67" t="s">
        <v>326</v>
      </c>
      <c r="AL3" s="67" t="s">
        <v>116</v>
      </c>
      <c r="AM3" s="68" t="s">
        <v>336</v>
      </c>
      <c r="AN3" s="66" t="s">
        <v>328</v>
      </c>
      <c r="AO3" s="67" t="s">
        <v>327</v>
      </c>
      <c r="AP3" s="67" t="s">
        <v>118</v>
      </c>
      <c r="AQ3" s="68" t="s">
        <v>337</v>
      </c>
      <c r="AR3" s="66" t="s">
        <v>329</v>
      </c>
      <c r="AS3" s="67" t="s">
        <v>330</v>
      </c>
      <c r="AT3" s="67" t="s">
        <v>117</v>
      </c>
      <c r="AU3" s="68" t="s">
        <v>333</v>
      </c>
      <c r="AV3" s="81" t="s">
        <v>194</v>
      </c>
      <c r="AW3" s="81" t="s">
        <v>213</v>
      </c>
      <c r="AX3" s="160" t="s">
        <v>208</v>
      </c>
      <c r="AY3" s="161"/>
      <c r="AZ3" s="162" t="s">
        <v>209</v>
      </c>
      <c r="BA3" s="160" t="s">
        <v>213</v>
      </c>
      <c r="BB3" s="82" t="s">
        <v>217</v>
      </c>
      <c r="BC3" s="81" t="s">
        <v>213</v>
      </c>
      <c r="BD3" s="82" t="s">
        <v>218</v>
      </c>
      <c r="BE3" s="56" t="s">
        <v>382</v>
      </c>
      <c r="BF3" s="90" t="s">
        <v>383</v>
      </c>
      <c r="BG3" s="56" t="s">
        <v>354</v>
      </c>
      <c r="BH3" s="90" t="s">
        <v>355</v>
      </c>
      <c r="BI3" s="56" t="s">
        <v>356</v>
      </c>
      <c r="BJ3" s="90" t="s">
        <v>357</v>
      </c>
      <c r="BK3" s="56" t="s">
        <v>358</v>
      </c>
      <c r="BL3" s="90" t="s">
        <v>359</v>
      </c>
      <c r="BM3" s="56" t="s">
        <v>360</v>
      </c>
      <c r="BN3" s="90" t="s">
        <v>361</v>
      </c>
      <c r="BO3" s="56" t="s">
        <v>362</v>
      </c>
      <c r="BP3" s="90" t="s">
        <v>363</v>
      </c>
      <c r="BQ3" s="57" t="s">
        <v>364</v>
      </c>
      <c r="BR3" s="90" t="s">
        <v>365</v>
      </c>
      <c r="BS3" s="81" t="s">
        <v>454</v>
      </c>
      <c r="BT3" s="160" t="s">
        <v>597</v>
      </c>
      <c r="BU3" s="160" t="s">
        <v>598</v>
      </c>
      <c r="BV3" s="160" t="s">
        <v>599</v>
      </c>
      <c r="BW3" s="82" t="s">
        <v>600</v>
      </c>
      <c r="BX3" s="81" t="s">
        <v>601</v>
      </c>
      <c r="BY3" s="160" t="s">
        <v>602</v>
      </c>
      <c r="BZ3" s="160" t="s">
        <v>603</v>
      </c>
      <c r="CA3" s="160" t="s">
        <v>604</v>
      </c>
      <c r="CB3" s="160" t="s">
        <v>605</v>
      </c>
      <c r="CC3" s="160" t="s">
        <v>606</v>
      </c>
      <c r="CD3" s="160" t="s">
        <v>607</v>
      </c>
      <c r="CE3" s="230" t="s">
        <v>608</v>
      </c>
      <c r="CF3" s="81" t="s">
        <v>549</v>
      </c>
      <c r="CG3" s="67" t="s">
        <v>550</v>
      </c>
      <c r="CH3" s="229" t="s">
        <v>907</v>
      </c>
      <c r="CI3" s="229" t="s">
        <v>908</v>
      </c>
      <c r="CJ3" s="68" t="s">
        <v>581</v>
      </c>
      <c r="CK3" s="129" t="s">
        <v>609</v>
      </c>
      <c r="CL3" s="66" t="s">
        <v>553</v>
      </c>
      <c r="CM3" s="67" t="s">
        <v>554</v>
      </c>
      <c r="CN3" s="67" t="s">
        <v>555</v>
      </c>
      <c r="CO3" s="67" t="s">
        <v>556</v>
      </c>
      <c r="CP3" s="67" t="s">
        <v>557</v>
      </c>
      <c r="CQ3" s="67" t="s">
        <v>558</v>
      </c>
      <c r="CR3" s="129" t="s">
        <v>612</v>
      </c>
      <c r="CS3" s="72" t="s">
        <v>610</v>
      </c>
      <c r="CT3" s="72" t="s">
        <v>594</v>
      </c>
      <c r="CU3" s="49" t="s">
        <v>611</v>
      </c>
      <c r="CV3" s="14" t="s">
        <v>446</v>
      </c>
    </row>
    <row r="4" spans="1:100" ht="15.75" thickBot="1" x14ac:dyDescent="0.3">
      <c r="A4" s="524" t="s">
        <v>289</v>
      </c>
      <c r="B4" s="524"/>
      <c r="C4" s="524"/>
      <c r="K4">
        <v>0</v>
      </c>
      <c r="L4" s="91">
        <f t="shared" ref="L4:L35" si="0">VinMin+(K4*DC_Step)</f>
        <v>6</v>
      </c>
      <c r="M4" s="93">
        <f t="shared" ref="M4:M35" si="1">Pout_FBB/(L4*eff)</f>
        <v>1.25</v>
      </c>
      <c r="N4" s="122">
        <f>IF(VoutPri_FBB&lt;0,(Q4*L4)/(0.9*RR*R4*Fsw),0)</f>
        <v>2.2675736961451244E-5</v>
      </c>
      <c r="O4" s="97">
        <f>IF(VoutPri_FBB&lt;0,(Q4*L4)/(RR*R4*Fsw),0)</f>
        <v>2.0408163265306119E-5</v>
      </c>
      <c r="P4" s="123">
        <f>IF(VoutPri_FBB&lt;0,(Q4*L4)/(1.1*RR*R4*Fsw),0)</f>
        <v>1.8552875695732837E-5</v>
      </c>
      <c r="Q4" s="127">
        <f>IF(VoutPri_FBB&lt;0,ABS(VoutPri_FBB)/(L4+ABS(VoutPri_FBB)),0)</f>
        <v>0.7142857142857143</v>
      </c>
      <c r="R4" s="91">
        <f>M4/(Q4)</f>
        <v>1.75</v>
      </c>
      <c r="S4" s="92">
        <f t="shared" ref="S4:S35" si="2">(L4*Q4)/(Lm_FlyBB*Fsw)</f>
        <v>9.5238095238095247E-2</v>
      </c>
      <c r="T4" s="92">
        <f>R4+(0.5*S4)</f>
        <v>1.7976190476190477</v>
      </c>
      <c r="U4" s="92" t="e">
        <f t="shared" ref="U4:U35" si="3">SUM(V4,(Ns1_FlyBB/Np)*Z4,(Ns2_FlyBB/Np)*AD4,(Ns3_FlyBB/Np)*AH4,(Ns4_FlyBB/Np)*AL4,(Ns5_FlyBB/Np)*AP4,(Ns6_FlyBB/Np)*AT4)</f>
        <v>#DIV/0!</v>
      </c>
      <c r="V4" s="118">
        <f>R4*SQRT(Q4)*SQRT(1+((1/3)*(S4/(2*R4))^2))</f>
        <v>1.4792024535198292</v>
      </c>
      <c r="W4" s="103">
        <f>SQRT((V4^2)-(M4^2))</f>
        <v>0.79091080312452589</v>
      </c>
      <c r="X4" s="117">
        <f t="shared" ref="X4:X35" si="4">IF(AND(Vout1&lt;&gt;0,Iout1&lt;&gt;0,Ns1_FlyBB&lt;&gt;0),(Iout1/(1-Q4)),0)</f>
        <v>1.75</v>
      </c>
      <c r="Y4" s="103">
        <f t="shared" ref="Y4:Y35" si="5">IF(AND(Vout1&lt;&gt;0,Iout1&lt;&gt;0,Ns1_FlyBB&lt;&gt;0),(ABS(Vout1)*(1-Q4))/(((n1_FlyBB/Np)^2)*Lm_FlyBB*Fsw),0)</f>
        <v>9.5238095238095247E-2</v>
      </c>
      <c r="Z4" s="103">
        <f t="shared" ref="Z4:Z35" si="6">IF(AND(Vout1&lt;&gt;0,Iout1&lt;&gt;0,Ns1_FlyB&lt;&gt;0),X4*SQRT(1-Q4)*SQRT(1+((1/3)*((Y4/(2*X4))^2))),0)</f>
        <v>0.93552977472640231</v>
      </c>
      <c r="AA4" s="118">
        <f t="shared" ref="AA4:AA35" si="7">IF(AND(Vout1&lt;&gt;0,Iout1&lt;&gt;0,Ns1_FlyB&lt;&gt;0),SQRT((X4^2)-(Iout1^2)),0)</f>
        <v>1.6770509831248424</v>
      </c>
      <c r="AB4" s="117">
        <f t="shared" ref="AB4:AB35" si="8">IF(AND(Vout2&lt;&gt;0,Iout2&lt;&gt;0,Ns2_FlyBB&lt;&gt;0),(Iout2/(1-Q4)),0)</f>
        <v>0</v>
      </c>
      <c r="AC4" s="103">
        <f t="shared" ref="AC4:AC35" si="9">IF(AND(Vout2&lt;&gt;0,Iout2&lt;&gt;0,Ns2_FlyBB&lt;&gt;0),(ABS(Vout2)*(1-Q4))/(((n2_FlyBB/Np)^2)*Lm_FlyBB*Fsw),0)</f>
        <v>0</v>
      </c>
      <c r="AD4" s="103" t="e">
        <f t="shared" ref="AD4:AD35" si="10">IF(AND(Vout1&lt;&gt;0,Iout1&lt;&gt;0,Ns1_FlyB&lt;&gt;0),AB4*SQRT(1-Q4)*SQRT(1+((1/3)*((AC4/(2*AB4))^2))),0)</f>
        <v>#DIV/0!</v>
      </c>
      <c r="AE4" s="118">
        <f t="shared" ref="AE4:AE35" si="11">IF(AND(Vout2&lt;&gt;0,Iout2&lt;&gt;0,Ns2_FlyB&lt;&gt;0),SQRT((AD4^2)-(Iout2^2)),0)</f>
        <v>0</v>
      </c>
      <c r="AF4" s="117">
        <f t="shared" ref="AF4:AF35" si="12">IF(AND(Vout3&lt;&gt;0,Iout3&lt;&gt;0,Ns3_FlyBB&lt;&gt;0),(Iout3/(1-Q4)),0)</f>
        <v>0</v>
      </c>
      <c r="AG4" s="103">
        <f t="shared" ref="AG4:AG35" si="13">IF(AND(Vout3&lt;&gt;0,Iout3&lt;&gt;0,Ns3_FlyBB&lt;&gt;0),(ABS(Vout3)*(1-Q4))/(((n3_FlyBB/Np)^2)*Lm_FlyBB*Fsw),0)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IF(AND(Vout4&lt;&gt;0,Iout4&lt;&gt;0,Ns4_FlyBB&lt;&gt;0),(Iout4/(1-Q4)),0)</f>
        <v>0</v>
      </c>
      <c r="AK4" s="103">
        <f t="shared" ref="AK4:AK35" si="17">IF(AND(Vout4&lt;&gt;0,Iout4&lt;&gt;0,Ns4_FlyBB&lt;&gt;0),(ABS(Vout4)*(1-Q4))/(((n4_FlyBB/Np)^2)*Lm_FlyBB*Fsw),0)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IF(AND(Vout5&lt;&gt;0,Iout5&lt;&gt;0,Ns5_FlyBB&lt;&gt;0),(Iout5/(1-Q4)),0)</f>
        <v>0</v>
      </c>
      <c r="AO4" s="103">
        <f t="shared" ref="AO4:AO35" si="21">IF(AND(Vout5&lt;&gt;0,Iout5&lt;&gt;0,Ns5_FlyBB&lt;&gt;0),(ABS(Vout5)*(1-Q4))/(((n5_FlyBB/Np)^2)*Lm_FlyBB*Fsw),0)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IF(AND(Vout6&lt;&gt;0,Iout6&lt;&gt;0,Ns6_FlyBB&lt;&gt;0),(Iout6/(1-Q4)),0)</f>
        <v>0</v>
      </c>
      <c r="AS4" s="103">
        <f t="shared" ref="AS4:AS35" si="25">IF(AND(Vout6&lt;&gt;0,Iout6&lt;&gt;0,Ns6_FlyBB&lt;&gt;0),(ABS(Vout6)*(1-Q4))/(((n6_FlyBB/Np)^2)*Lm_FlyBB*Fsw),0)</f>
        <v>0</v>
      </c>
      <c r="AT4" s="103">
        <f t="shared" ref="AT4:AT35" si="26">IF(AND(Vout6&lt;&gt;0,Iout6&lt;&gt;0,Ns6_FlyB&lt;&gt;0),AR4*SQRT(1-Q4)*SQRT(1+((1/3)*((AS4/(2*AR4))^2))),0)</f>
        <v>0</v>
      </c>
      <c r="AU4" s="118">
        <f t="shared" ref="AU4:AU35" si="27">IF(AND(Vout6&lt;&gt;0,Iout6&lt;&gt;0,Ns6_FlyB&lt;&gt;0),SQRT((AT4^2)-(Iout1^2)),0)</f>
        <v>0</v>
      </c>
      <c r="AV4" s="163">
        <f t="shared" ref="AV4:AV35" si="28">(((L4)*Q4)/(2*Np_T_FB*(Ae_FB/100)*Fsw))*(10^4)</f>
        <v>2.7430326969497473E-2</v>
      </c>
      <c r="AW4" s="143">
        <f>CM_3F35*(Fsw^x_3F35)*(AV4^y_3F35)*(TC_3F35)</f>
        <v>0</v>
      </c>
      <c r="AX4" s="154">
        <f t="shared" ref="AX4:AX35" si="29">AW4*(Ve_FBB/1000)</f>
        <v>0</v>
      </c>
      <c r="AY4" s="155">
        <v>0</v>
      </c>
      <c r="AZ4" s="156">
        <f t="shared" ref="AZ4:AZ35" si="30">CM_3F36*(Fsw^x_3F36)*(AV4^y_3F36)*(TC_3F36)*(Ve_FBB/1000)</f>
        <v>0</v>
      </c>
      <c r="BA4" s="157">
        <f t="shared" ref="BA4:BA35" si="31">CM_3C92*(Fsw^x_3C92)*(AV4^y_3C92)*(TC_3C92)/1000</f>
        <v>15.487916213909713</v>
      </c>
      <c r="BB4" s="158">
        <f t="shared" ref="BB4:BB35" si="32">(Ve_FBB/1000)*BA4/1000</f>
        <v>5.7150410829326839E-3</v>
      </c>
      <c r="BC4" s="157">
        <f>(CM_3C96*(Fsw^x_3C96)*(AV4^y_3C96)*(TC_3C96))/1000</f>
        <v>19.038237611305725</v>
      </c>
      <c r="BD4" s="159">
        <f t="shared" ref="BD4:BD35" si="33">((Ve_FBB/1000)*BC4)/1000</f>
        <v>7.0251096785718123E-3</v>
      </c>
      <c r="BE4" s="24" t="e">
        <f t="shared" ref="BE4:BE35" si="34">(M4^2)*RdcPri_FBB</f>
        <v>#DIV/0!</v>
      </c>
      <c r="BF4" s="27" t="e">
        <f t="shared" ref="BF4:BF35" si="35">(W4^2)*(RacPri_FBB)</f>
        <v>#DIV/0!</v>
      </c>
      <c r="BG4" s="24" t="e">
        <f t="shared" ref="BG4:BG35" si="36">(Iout1^2)*Rdc1_FBB</f>
        <v>#DIV/0!</v>
      </c>
      <c r="BH4" s="61" t="e">
        <f t="shared" ref="BH4:BH35" si="37">(Z4^2)*Rac1_FBB</f>
        <v>#DIV/0!</v>
      </c>
      <c r="BI4" s="24">
        <f t="shared" ref="BI4:BI35" si="38">(Iout2^2)*Rdc2_FBB</f>
        <v>0</v>
      </c>
      <c r="BJ4" s="27" t="e">
        <f t="shared" ref="BJ4:BJ35" si="39">(AD4^2)*Rac2_FBB</f>
        <v>#DIV/0!</v>
      </c>
      <c r="BK4" s="24">
        <f t="shared" ref="BK4:BK35" si="40">(Iout3^2)*Rdc3_FBB</f>
        <v>0</v>
      </c>
      <c r="BL4" s="27">
        <f t="shared" ref="BL4:BL35" si="41">(AH4^2)*Rac3_FBB</f>
        <v>0</v>
      </c>
      <c r="BM4" s="24">
        <f t="shared" ref="BM4:BM35" si="42">(Iout4^2)*Rdc4_FBB</f>
        <v>0</v>
      </c>
      <c r="BN4" s="27">
        <f t="shared" ref="BN4:BN35" si="43">(AL4^2)*Rac4_FBB</f>
        <v>0</v>
      </c>
      <c r="BO4" s="24">
        <f t="shared" ref="BO4:BO35" si="44">(Iout5^2)*Rdc5_FBB</f>
        <v>0</v>
      </c>
      <c r="BP4" s="27">
        <f t="shared" ref="BP4:BP35" si="45">(AP4^2)*Rac5_FBB</f>
        <v>0</v>
      </c>
      <c r="BQ4" s="147">
        <f t="shared" ref="BQ4:BQ35" si="46">(Iout6^2)*Rdc6_FBB</f>
        <v>0</v>
      </c>
      <c r="BR4" s="27">
        <f t="shared" ref="BR4:BR35" si="47">(AT4^2)*Rac6_FBB</f>
        <v>0</v>
      </c>
      <c r="BS4" s="91" t="e">
        <f>SUM(BE4:BR4)</f>
        <v>#DIV/0!</v>
      </c>
      <c r="BT4" s="101" t="e">
        <f>BS4+AX4</f>
        <v>#DIV/0!</v>
      </c>
      <c r="BU4" s="206" t="e">
        <f>BS4+AZ4</f>
        <v>#DIV/0!</v>
      </c>
      <c r="BV4" s="97" t="e">
        <f>BS4+BB4</f>
        <v>#DIV/0!</v>
      </c>
      <c r="BW4" s="123" t="e">
        <f>BS4+BD4</f>
        <v>#DIV/0!</v>
      </c>
      <c r="BX4" s="91">
        <f>(M4^2)*$B$78</f>
        <v>0.10937500000000001</v>
      </c>
      <c r="BY4" s="92">
        <f t="shared" ref="BY4:BY35" si="48">IF(AND(Vout1&lt;&gt;0,Iout1&lt;&gt;0),(Iout1^2)*($B$79),0)</f>
        <v>5.0000000000000001E-3</v>
      </c>
      <c r="BZ4" s="233">
        <f t="shared" ref="BZ4:BZ35" si="49">IF(AND(Vout2&lt;&gt;0,Iout2&lt;&gt;0),(Iout2^2)*($B$80),0)</f>
        <v>0</v>
      </c>
      <c r="CA4" s="92">
        <f t="shared" ref="CA4:CA35" si="50">IF(AND(Vout3&lt;&gt;0,Iout3&lt;&gt;0),(Iout3^2)*($B$81),0)</f>
        <v>0</v>
      </c>
      <c r="CB4" s="92">
        <f t="shared" ref="CB4:CB35" si="51">IF(AND(Vout4&lt;&gt;0,Iout4&lt;&gt;0),(Iout4^2)*($B$82),0)</f>
        <v>0</v>
      </c>
      <c r="CC4" s="92">
        <f t="shared" ref="CC4:CC35" si="52">IF(AND(Vout5&lt;&gt;0,Iout5&lt;&gt;0),(Iout5^2)*($B$83),0)</f>
        <v>0</v>
      </c>
      <c r="CD4" s="92">
        <f t="shared" ref="CD4:CD35" si="53">IF(AND(Vout6&lt;&gt;0,Iout6&lt;&gt;0),(Iout6^2)*($B$84),0)</f>
        <v>0</v>
      </c>
      <c r="CE4" s="127">
        <f>SUM(BX4:CD4)</f>
        <v>0.11437500000000002</v>
      </c>
      <c r="CF4" s="91">
        <f>(M4^2)*$B$69</f>
        <v>0.45312499999999994</v>
      </c>
      <c r="CG4" s="92">
        <f t="shared" ref="CG4:CG35" si="54">0.5*(L4+ABS(VoutPri_FBB))*R4*T_Rise_Fall*Fsw</f>
        <v>0.16537500000000005</v>
      </c>
      <c r="CH4" s="92">
        <f t="shared" ref="CH4:CH35" si="55">R4*$B$76*Fsw</f>
        <v>1.3125000000000001E-2</v>
      </c>
      <c r="CI4" s="92">
        <f t="shared" ref="CI4:CI35" si="56">$B$77*L4*Fsw</f>
        <v>3.6000000000000004E-2</v>
      </c>
      <c r="CJ4" s="93">
        <f t="shared" ref="CJ4:CJ35" si="57">($B$70*$B$68*Fsw)+($B$72*$B$68*Fsw)</f>
        <v>0.09</v>
      </c>
      <c r="CK4" s="127">
        <f>SUM(CF4:CJ4)</f>
        <v>0.7576250000000001</v>
      </c>
      <c r="CL4" s="91">
        <f t="shared" ref="CL4:CL35" si="58">IF(AND(Vout1&lt;&gt;0,Iout1&lt;&gt;0,Vdiode1&lt;&gt;0),(Vdiode1*Iout1),0)</f>
        <v>0.15</v>
      </c>
      <c r="CM4" s="92">
        <f t="shared" ref="CM4:CM35" si="59">IF(AND(Vout2&lt;&gt;0,Iout2&lt;&gt;0,Vdiode2&lt;&gt;0),(Vdiode2*Iout2),0)</f>
        <v>0</v>
      </c>
      <c r="CN4" s="92">
        <f t="shared" ref="CN4:CN35" si="60">IF(AND(Vout3&lt;&gt;0,Iout3&lt;&gt;0,Vdiode3&lt;&gt;0),(Vdiode3*Iout3),0)</f>
        <v>0</v>
      </c>
      <c r="CO4" s="92">
        <f t="shared" ref="CO4:CO35" si="61">IF(AND(Vout4&lt;&gt;0,Iout4&lt;&gt;0,Vdiode4&lt;&gt;0),(Vdiode4*Iout4),0)</f>
        <v>0</v>
      </c>
      <c r="CP4" s="92">
        <f t="shared" ref="CP4:CP35" si="62">IF(AND(Vout5&lt;&gt;0,Iout5&lt;&gt;0,Vdiode5&lt;&gt;0),(Vdiode5*Iout5),0)</f>
        <v>0</v>
      </c>
      <c r="CQ4" s="92">
        <f t="shared" ref="CQ4:CQ35" si="63">IF(AND(Vout6&lt;&gt;0,Iout6&lt;&gt;0,Vdiode6&lt;&gt;0),(Vdiode6*Iout6),0)</f>
        <v>0</v>
      </c>
      <c r="CR4" s="127">
        <f>SUM(CL4:CQ4)</f>
        <v>0.15</v>
      </c>
      <c r="CS4" s="92">
        <f>CR4+CK4+CE4</f>
        <v>1.0220000000000002</v>
      </c>
      <c r="CT4" s="92">
        <f t="shared" ref="CT4:CT35" si="64">CS4+Pout_FBB</f>
        <v>8.5220000000000002</v>
      </c>
      <c r="CU4" s="93">
        <f t="shared" ref="CU4:CU35" si="65">Pout_FBB/CT4</f>
        <v>0.88007509974184461</v>
      </c>
      <c r="CV4">
        <f>L4</f>
        <v>6</v>
      </c>
    </row>
    <row r="5" spans="1:100" ht="15.75" thickBot="1" x14ac:dyDescent="0.3">
      <c r="A5" s="12" t="s">
        <v>315</v>
      </c>
      <c r="B5" s="12">
        <f>VoutPri_FBB</f>
        <v>-15</v>
      </c>
      <c r="C5" s="12" t="s">
        <v>5</v>
      </c>
      <c r="K5">
        <v>1</v>
      </c>
      <c r="L5" s="91">
        <f t="shared" si="0"/>
        <v>7.08</v>
      </c>
      <c r="M5" s="93">
        <f t="shared" si="1"/>
        <v>1.0593220338983051</v>
      </c>
      <c r="N5" s="122">
        <f t="shared" ref="N5:N54" si="66">IF(VoutPri_FBB&lt;0,(Q5*L5)/(0.9*RR*R5*Fsw),0)</f>
        <v>2.8560504620877959E-5</v>
      </c>
      <c r="O5" s="97">
        <f t="shared" ref="O5:O54" si="67">IF(VoutPri_FBB&lt;0,(Q5*L5)/(RR*R5*Fsw),0)</f>
        <v>2.5704454158790172E-5</v>
      </c>
      <c r="P5" s="123">
        <f t="shared" ref="P5:P54" si="68">IF(VoutPri_FBB&lt;0,(Q5*L5)/(1.1*RR*R5*Fsw),0)</f>
        <v>2.3367685598900153E-5</v>
      </c>
      <c r="Q5" s="127">
        <f t="shared" ref="Q5:Q54" si="69">IF(VoutPri_FBB&lt;0,ABS(VoutPri_FBB)/(L5+ABS(VoutPri_FBB)),0)</f>
        <v>0.67934782608695654</v>
      </c>
      <c r="R5" s="91">
        <f t="shared" ref="R5:R53" si="70">M5/(Q5)</f>
        <v>1.5593220338983051</v>
      </c>
      <c r="S5" s="92">
        <f t="shared" si="2"/>
        <v>0.10688405797101451</v>
      </c>
      <c r="T5" s="92">
        <f t="shared" ref="T5:T54" si="71">R5+(0.5*S5)</f>
        <v>1.6127640628838125</v>
      </c>
      <c r="U5" s="92" t="e">
        <f t="shared" si="3"/>
        <v>#DIV/0!</v>
      </c>
      <c r="V5" s="118">
        <f t="shared" ref="V5:V54" si="72">R5*SQRT(Q5)*SQRT(1+((1/3)*(S5/(2*R5))^2))</f>
        <v>1.285484709753147</v>
      </c>
      <c r="W5" s="103">
        <f t="shared" ref="W5:W54" si="73">SQRT((V5^2)-(M5^2))</f>
        <v>0.72822233384227553</v>
      </c>
      <c r="X5" s="117">
        <f t="shared" si="4"/>
        <v>1.5593220338983051</v>
      </c>
      <c r="Y5" s="103">
        <f t="shared" si="5"/>
        <v>0.10688405797101451</v>
      </c>
      <c r="Z5" s="103">
        <f t="shared" si="6"/>
        <v>0.88315699805431569</v>
      </c>
      <c r="AA5" s="118">
        <f t="shared" si="7"/>
        <v>1.4769851744011335</v>
      </c>
      <c r="AB5" s="117">
        <f t="shared" si="8"/>
        <v>0</v>
      </c>
      <c r="AC5" s="103">
        <f t="shared" si="9"/>
        <v>0</v>
      </c>
      <c r="AD5" s="103" t="e">
        <f t="shared" si="10"/>
        <v>#DIV/0!</v>
      </c>
      <c r="AE5" s="118">
        <f t="shared" si="11"/>
        <v>0</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163">
        <f t="shared" si="28"/>
        <v>3.0784578908702332E-2</v>
      </c>
      <c r="AW5" s="143">
        <f t="shared" ref="AW5:AW54" si="74">CM_3F35*(Fsw^x_3F35)*(AV5^y_3F35)*(TC_3F35)</f>
        <v>0</v>
      </c>
      <c r="AX5" s="154">
        <f t="shared" si="29"/>
        <v>0</v>
      </c>
      <c r="AY5" s="155">
        <v>1</v>
      </c>
      <c r="AZ5" s="156">
        <f t="shared" si="30"/>
        <v>0</v>
      </c>
      <c r="BA5" s="157">
        <f t="shared" si="31"/>
        <v>21.050621876617207</v>
      </c>
      <c r="BB5" s="158">
        <f t="shared" si="32"/>
        <v>7.7676794724717488E-3</v>
      </c>
      <c r="BC5" s="157">
        <f t="shared" ref="BC5:BC54" si="75">(CM_3C96*(Fsw^x_3C96)*(AV5^y_3C96)*(TC_3C96))/1000</f>
        <v>25.285889514240043</v>
      </c>
      <c r="BD5" s="159">
        <f t="shared" si="33"/>
        <v>9.3304932307545756E-3</v>
      </c>
      <c r="BE5" s="24" t="e">
        <f t="shared" si="34"/>
        <v>#DIV/0!</v>
      </c>
      <c r="BF5" s="27" t="e">
        <f t="shared" si="35"/>
        <v>#DIV/0!</v>
      </c>
      <c r="BG5" s="24" t="e">
        <f t="shared" si="36"/>
        <v>#DIV/0!</v>
      </c>
      <c r="BH5" s="61" t="e">
        <f t="shared" si="37"/>
        <v>#DIV/0!</v>
      </c>
      <c r="BI5" s="24">
        <f t="shared" si="38"/>
        <v>0</v>
      </c>
      <c r="BJ5" s="27" t="e">
        <f t="shared" si="39"/>
        <v>#DIV/0!</v>
      </c>
      <c r="BK5" s="24">
        <f t="shared" si="40"/>
        <v>0</v>
      </c>
      <c r="BL5" s="27">
        <f t="shared" si="41"/>
        <v>0</v>
      </c>
      <c r="BM5" s="24">
        <f t="shared" si="42"/>
        <v>0</v>
      </c>
      <c r="BN5" s="27">
        <f t="shared" si="43"/>
        <v>0</v>
      </c>
      <c r="BO5" s="24">
        <f t="shared" si="44"/>
        <v>0</v>
      </c>
      <c r="BP5" s="27">
        <f t="shared" si="45"/>
        <v>0</v>
      </c>
      <c r="BQ5" s="147">
        <f t="shared" si="46"/>
        <v>0</v>
      </c>
      <c r="BR5" s="27">
        <f t="shared" si="47"/>
        <v>0</v>
      </c>
      <c r="BS5" s="91" t="e">
        <f t="shared" ref="BS5:BS54" si="76">SUM(BE5:BR5)</f>
        <v>#DIV/0!</v>
      </c>
      <c r="BT5" s="101" t="e">
        <f t="shared" ref="BT5:BT54" si="77">BS5+AX5</f>
        <v>#DIV/0!</v>
      </c>
      <c r="BU5" s="206" t="e">
        <f t="shared" ref="BU5:BU54" si="78">BS5+AZ5</f>
        <v>#DIV/0!</v>
      </c>
      <c r="BV5" s="97" t="e">
        <f t="shared" ref="BV5:BV54" si="79">BS5+BB5</f>
        <v>#DIV/0!</v>
      </c>
      <c r="BW5" s="123" t="e">
        <f t="shared" ref="BW5:BW54" si="80">BS5+BD5</f>
        <v>#DIV/0!</v>
      </c>
      <c r="BX5" s="91">
        <f t="shared" ref="BX5:BX54" si="81">(M5^2)*$B$78</f>
        <v>7.8551422005170957E-2</v>
      </c>
      <c r="BY5" s="92">
        <f t="shared" si="48"/>
        <v>5.0000000000000001E-3</v>
      </c>
      <c r="BZ5" s="233">
        <f t="shared" si="49"/>
        <v>0</v>
      </c>
      <c r="CA5" s="92">
        <f t="shared" si="50"/>
        <v>0</v>
      </c>
      <c r="CB5" s="92">
        <f t="shared" si="51"/>
        <v>0</v>
      </c>
      <c r="CC5" s="92">
        <f t="shared" si="52"/>
        <v>0</v>
      </c>
      <c r="CD5" s="92">
        <f t="shared" si="53"/>
        <v>0</v>
      </c>
      <c r="CE5" s="127">
        <f t="shared" ref="CE5:CE54" si="82">SUM(BX5:CD5)</f>
        <v>8.3551422005170961E-2</v>
      </c>
      <c r="CF5" s="91">
        <f t="shared" ref="CF5:CF54" si="83">(M5^2)*$B$69</f>
        <v>0.32542731973570815</v>
      </c>
      <c r="CG5" s="92">
        <f t="shared" si="54"/>
        <v>0.1549342372881356</v>
      </c>
      <c r="CH5" s="92">
        <f t="shared" si="55"/>
        <v>1.1694915254237289E-2</v>
      </c>
      <c r="CI5" s="92">
        <f t="shared" si="56"/>
        <v>4.2479999999999997E-2</v>
      </c>
      <c r="CJ5" s="93">
        <f t="shared" si="57"/>
        <v>0.09</v>
      </c>
      <c r="CK5" s="127">
        <f t="shared" ref="CK5:CK54" si="84">SUM(CF5:CJ5)</f>
        <v>0.62453647227808096</v>
      </c>
      <c r="CL5" s="91">
        <f t="shared" si="58"/>
        <v>0.15</v>
      </c>
      <c r="CM5" s="92">
        <f t="shared" si="59"/>
        <v>0</v>
      </c>
      <c r="CN5" s="92">
        <f t="shared" si="60"/>
        <v>0</v>
      </c>
      <c r="CO5" s="92">
        <f t="shared" si="61"/>
        <v>0</v>
      </c>
      <c r="CP5" s="92">
        <f t="shared" si="62"/>
        <v>0</v>
      </c>
      <c r="CQ5" s="92">
        <f t="shared" si="63"/>
        <v>0</v>
      </c>
      <c r="CR5" s="127">
        <f t="shared" ref="CR5:CR54" si="85">SUM(CL5:CQ5)</f>
        <v>0.15</v>
      </c>
      <c r="CS5" s="92">
        <f t="shared" ref="CS5:CS54" si="86">CR5+CK5+CE5</f>
        <v>0.85808789428325194</v>
      </c>
      <c r="CT5" s="92">
        <f t="shared" si="64"/>
        <v>8.3580878942832513</v>
      </c>
      <c r="CU5" s="93">
        <f t="shared" si="65"/>
        <v>0.89733442563218746</v>
      </c>
      <c r="CV5">
        <f t="shared" ref="CV5:CV54" si="87">L5</f>
        <v>7.08</v>
      </c>
    </row>
    <row r="6" spans="1:100" ht="15.75" thickBot="1" x14ac:dyDescent="0.3">
      <c r="A6" s="524" t="s">
        <v>283</v>
      </c>
      <c r="B6" s="524"/>
      <c r="C6" s="12"/>
      <c r="K6">
        <v>2</v>
      </c>
      <c r="L6" s="91">
        <f t="shared" si="0"/>
        <v>8.16</v>
      </c>
      <c r="M6" s="93">
        <f t="shared" si="1"/>
        <v>0.91911764705882348</v>
      </c>
      <c r="N6" s="122">
        <f t="shared" si="66"/>
        <v>3.4482655761079335E-5</v>
      </c>
      <c r="O6" s="97">
        <f t="shared" si="67"/>
        <v>3.1034390184971404E-5</v>
      </c>
      <c r="P6" s="123">
        <f t="shared" si="68"/>
        <v>2.821308198633764E-5</v>
      </c>
      <c r="Q6" s="127">
        <f t="shared" si="69"/>
        <v>0.64766839378238339</v>
      </c>
      <c r="R6" s="91">
        <f t="shared" si="70"/>
        <v>1.4191176470588236</v>
      </c>
      <c r="S6" s="92">
        <f t="shared" si="2"/>
        <v>0.11744386873920555</v>
      </c>
      <c r="T6" s="92">
        <f t="shared" si="71"/>
        <v>1.4778395814284264</v>
      </c>
      <c r="U6" s="92" t="e">
        <f t="shared" si="3"/>
        <v>#DIV/0!</v>
      </c>
      <c r="V6" s="118">
        <f t="shared" si="72"/>
        <v>1.1424012066141054</v>
      </c>
      <c r="W6" s="103">
        <f t="shared" si="73"/>
        <v>0.67845653341862355</v>
      </c>
      <c r="X6" s="117">
        <f t="shared" si="4"/>
        <v>1.4191176470588234</v>
      </c>
      <c r="Y6" s="103">
        <f t="shared" si="5"/>
        <v>0.11744386873920555</v>
      </c>
      <c r="Z6" s="103">
        <f t="shared" si="6"/>
        <v>0.84259349699550246</v>
      </c>
      <c r="AA6" s="118">
        <f t="shared" si="7"/>
        <v>1.3281170491315031</v>
      </c>
      <c r="AB6" s="117">
        <f t="shared" si="8"/>
        <v>0</v>
      </c>
      <c r="AC6" s="103">
        <f t="shared" si="9"/>
        <v>0</v>
      </c>
      <c r="AD6" s="103" t="e">
        <f t="shared" si="10"/>
        <v>#DIV/0!</v>
      </c>
      <c r="AE6" s="118">
        <f t="shared" si="11"/>
        <v>0</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163">
        <f t="shared" si="28"/>
        <v>3.3825999060831086E-2</v>
      </c>
      <c r="AW6" s="143">
        <f t="shared" si="74"/>
        <v>0</v>
      </c>
      <c r="AX6" s="154">
        <f t="shared" si="29"/>
        <v>0</v>
      </c>
      <c r="AY6" s="155">
        <v>2</v>
      </c>
      <c r="AZ6" s="156">
        <f t="shared" si="30"/>
        <v>0</v>
      </c>
      <c r="BA6" s="157">
        <f t="shared" si="31"/>
        <v>27.046137670038853</v>
      </c>
      <c r="BB6" s="158">
        <f t="shared" si="32"/>
        <v>9.9800248002443366E-3</v>
      </c>
      <c r="BC6" s="157">
        <f t="shared" si="75"/>
        <v>31.881230631647284</v>
      </c>
      <c r="BD6" s="159">
        <f t="shared" si="33"/>
        <v>1.1764174103077847E-2</v>
      </c>
      <c r="BE6" s="24" t="e">
        <f t="shared" si="34"/>
        <v>#DIV/0!</v>
      </c>
      <c r="BF6" s="27" t="e">
        <f t="shared" si="35"/>
        <v>#DIV/0!</v>
      </c>
      <c r="BG6" s="24" t="e">
        <f t="shared" si="36"/>
        <v>#DIV/0!</v>
      </c>
      <c r="BH6" s="61" t="e">
        <f t="shared" si="37"/>
        <v>#DIV/0!</v>
      </c>
      <c r="BI6" s="24">
        <f t="shared" si="38"/>
        <v>0</v>
      </c>
      <c r="BJ6" s="27" t="e">
        <f t="shared" si="39"/>
        <v>#DIV/0!</v>
      </c>
      <c r="BK6" s="24">
        <f t="shared" si="40"/>
        <v>0</v>
      </c>
      <c r="BL6" s="27">
        <f t="shared" si="41"/>
        <v>0</v>
      </c>
      <c r="BM6" s="24">
        <f t="shared" si="42"/>
        <v>0</v>
      </c>
      <c r="BN6" s="27">
        <f t="shared" si="43"/>
        <v>0</v>
      </c>
      <c r="BO6" s="24">
        <f t="shared" si="44"/>
        <v>0</v>
      </c>
      <c r="BP6" s="27">
        <f t="shared" si="45"/>
        <v>0</v>
      </c>
      <c r="BQ6" s="147">
        <f t="shared" si="46"/>
        <v>0</v>
      </c>
      <c r="BR6" s="27">
        <f t="shared" si="47"/>
        <v>0</v>
      </c>
      <c r="BS6" s="91" t="e">
        <f t="shared" si="76"/>
        <v>#DIV/0!</v>
      </c>
      <c r="BT6" s="101" t="e">
        <f t="shared" si="77"/>
        <v>#DIV/0!</v>
      </c>
      <c r="BU6" s="206" t="e">
        <f t="shared" si="78"/>
        <v>#DIV/0!</v>
      </c>
      <c r="BV6" s="97" t="e">
        <f t="shared" si="79"/>
        <v>#DIV/0!</v>
      </c>
      <c r="BW6" s="123" t="e">
        <f t="shared" si="80"/>
        <v>#DIV/0!</v>
      </c>
      <c r="BX6" s="91">
        <f t="shared" si="81"/>
        <v>5.9134407439446368E-2</v>
      </c>
      <c r="BY6" s="92">
        <f t="shared" si="48"/>
        <v>5.0000000000000001E-3</v>
      </c>
      <c r="BZ6" s="233">
        <f t="shared" si="49"/>
        <v>0</v>
      </c>
      <c r="CA6" s="92">
        <f t="shared" si="50"/>
        <v>0</v>
      </c>
      <c r="CB6" s="92">
        <f t="shared" si="51"/>
        <v>0</v>
      </c>
      <c r="CC6" s="92">
        <f t="shared" si="52"/>
        <v>0</v>
      </c>
      <c r="CD6" s="92">
        <f t="shared" si="53"/>
        <v>0</v>
      </c>
      <c r="CE6" s="127">
        <f t="shared" si="82"/>
        <v>6.4134407439446373E-2</v>
      </c>
      <c r="CF6" s="91">
        <f t="shared" si="83"/>
        <v>0.2449854022491349</v>
      </c>
      <c r="CG6" s="92">
        <f t="shared" si="54"/>
        <v>0.14790044117647061</v>
      </c>
      <c r="CH6" s="92">
        <f t="shared" si="55"/>
        <v>1.0643382352941178E-2</v>
      </c>
      <c r="CI6" s="92">
        <f t="shared" si="56"/>
        <v>4.8960000000000004E-2</v>
      </c>
      <c r="CJ6" s="93">
        <f t="shared" si="57"/>
        <v>0.09</v>
      </c>
      <c r="CK6" s="127">
        <f t="shared" si="84"/>
        <v>0.54248922577854664</v>
      </c>
      <c r="CL6" s="91">
        <f t="shared" si="58"/>
        <v>0.15</v>
      </c>
      <c r="CM6" s="92">
        <f t="shared" si="59"/>
        <v>0</v>
      </c>
      <c r="CN6" s="92">
        <f t="shared" si="60"/>
        <v>0</v>
      </c>
      <c r="CO6" s="92">
        <f t="shared" si="61"/>
        <v>0</v>
      </c>
      <c r="CP6" s="92">
        <f t="shared" si="62"/>
        <v>0</v>
      </c>
      <c r="CQ6" s="92">
        <f t="shared" si="63"/>
        <v>0</v>
      </c>
      <c r="CR6" s="127">
        <f t="shared" si="85"/>
        <v>0.15</v>
      </c>
      <c r="CS6" s="92">
        <f t="shared" si="86"/>
        <v>0.75662363321799297</v>
      </c>
      <c r="CT6" s="92">
        <f t="shared" si="64"/>
        <v>8.256623633217993</v>
      </c>
      <c r="CU6" s="93">
        <f t="shared" si="65"/>
        <v>0.90836161767457224</v>
      </c>
      <c r="CV6">
        <f t="shared" si="87"/>
        <v>8.16</v>
      </c>
    </row>
    <row r="7" spans="1:100" ht="15.75" thickBot="1" x14ac:dyDescent="0.3">
      <c r="A7" s="12" t="s">
        <v>284</v>
      </c>
      <c r="B7" s="12">
        <f>IF(VoutPri_FBB&lt;0,ABS(VoutPri_FBB)/(VinMax+ABS(VoutPri_FBB)),0)</f>
        <v>0.2</v>
      </c>
      <c r="C7" s="12"/>
      <c r="K7">
        <v>3</v>
      </c>
      <c r="L7" s="91">
        <f t="shared" si="0"/>
        <v>9.24</v>
      </c>
      <c r="M7" s="93">
        <f t="shared" si="1"/>
        <v>0.81168831168831168</v>
      </c>
      <c r="N7" s="122">
        <f t="shared" si="66"/>
        <v>4.0362328312039119E-5</v>
      </c>
      <c r="O7" s="97">
        <f t="shared" si="67"/>
        <v>3.6326095480835211E-5</v>
      </c>
      <c r="P7" s="123">
        <f t="shared" si="68"/>
        <v>3.3023723164395641E-5</v>
      </c>
      <c r="Q7" s="127">
        <f t="shared" si="69"/>
        <v>0.61881188118811881</v>
      </c>
      <c r="R7" s="91">
        <f t="shared" si="70"/>
        <v>1.3116883116883118</v>
      </c>
      <c r="S7" s="92">
        <f t="shared" si="2"/>
        <v>0.12706270627062707</v>
      </c>
      <c r="T7" s="92">
        <f t="shared" si="71"/>
        <v>1.3752196648236252</v>
      </c>
      <c r="U7" s="92" t="e">
        <f t="shared" si="3"/>
        <v>#DIV/0!</v>
      </c>
      <c r="V7" s="118">
        <f t="shared" si="72"/>
        <v>1.0322376797291608</v>
      </c>
      <c r="W7" s="103">
        <f t="shared" si="73"/>
        <v>0.63771209187314282</v>
      </c>
      <c r="X7" s="117">
        <f t="shared" si="4"/>
        <v>1.3116883116883116</v>
      </c>
      <c r="Y7" s="103">
        <f t="shared" si="5"/>
        <v>0.12706270627062707</v>
      </c>
      <c r="Z7" s="103">
        <f t="shared" si="6"/>
        <v>0.81015863292988921</v>
      </c>
      <c r="AA7" s="118">
        <f t="shared" si="7"/>
        <v>1.2126525582456555</v>
      </c>
      <c r="AB7" s="117">
        <f t="shared" si="8"/>
        <v>0</v>
      </c>
      <c r="AC7" s="103">
        <f t="shared" si="9"/>
        <v>0</v>
      </c>
      <c r="AD7" s="103" t="e">
        <f t="shared" si="10"/>
        <v>#DIV/0!</v>
      </c>
      <c r="AE7" s="118">
        <f t="shared" si="11"/>
        <v>0</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163">
        <f t="shared" si="28"/>
        <v>3.6596401575641438E-2</v>
      </c>
      <c r="AW7" s="143">
        <f t="shared" si="74"/>
        <v>0</v>
      </c>
      <c r="AX7" s="154">
        <f t="shared" si="29"/>
        <v>0</v>
      </c>
      <c r="AY7" s="155">
        <v>3</v>
      </c>
      <c r="AZ7" s="156">
        <f t="shared" si="30"/>
        <v>0</v>
      </c>
      <c r="BA7" s="157">
        <f t="shared" si="31"/>
        <v>33.34607132317533</v>
      </c>
      <c r="BB7" s="158">
        <f t="shared" si="32"/>
        <v>1.2304700318251698E-2</v>
      </c>
      <c r="BC7" s="157">
        <f t="shared" si="75"/>
        <v>38.693404815134976</v>
      </c>
      <c r="BD7" s="159">
        <f t="shared" si="33"/>
        <v>1.4277866376784805E-2</v>
      </c>
      <c r="BE7" s="24" t="e">
        <f t="shared" si="34"/>
        <v>#DIV/0!</v>
      </c>
      <c r="BF7" s="27" t="e">
        <f t="shared" si="35"/>
        <v>#DIV/0!</v>
      </c>
      <c r="BG7" s="24" t="e">
        <f t="shared" si="36"/>
        <v>#DIV/0!</v>
      </c>
      <c r="BH7" s="61" t="e">
        <f t="shared" si="37"/>
        <v>#DIV/0!</v>
      </c>
      <c r="BI7" s="24">
        <f t="shared" si="38"/>
        <v>0</v>
      </c>
      <c r="BJ7" s="27" t="e">
        <f t="shared" si="39"/>
        <v>#DIV/0!</v>
      </c>
      <c r="BK7" s="24">
        <f t="shared" si="40"/>
        <v>0</v>
      </c>
      <c r="BL7" s="27">
        <f t="shared" si="41"/>
        <v>0</v>
      </c>
      <c r="BM7" s="24">
        <f t="shared" si="42"/>
        <v>0</v>
      </c>
      <c r="BN7" s="27">
        <f t="shared" si="43"/>
        <v>0</v>
      </c>
      <c r="BO7" s="24">
        <f t="shared" si="44"/>
        <v>0</v>
      </c>
      <c r="BP7" s="27">
        <f t="shared" si="45"/>
        <v>0</v>
      </c>
      <c r="BQ7" s="147">
        <f t="shared" si="46"/>
        <v>0</v>
      </c>
      <c r="BR7" s="27">
        <f t="shared" si="47"/>
        <v>0</v>
      </c>
      <c r="BS7" s="91" t="e">
        <f t="shared" si="76"/>
        <v>#DIV/0!</v>
      </c>
      <c r="BT7" s="101" t="e">
        <f t="shared" si="77"/>
        <v>#DIV/0!</v>
      </c>
      <c r="BU7" s="206" t="e">
        <f t="shared" si="78"/>
        <v>#DIV/0!</v>
      </c>
      <c r="BV7" s="97" t="e">
        <f t="shared" si="79"/>
        <v>#DIV/0!</v>
      </c>
      <c r="BW7" s="123" t="e">
        <f t="shared" si="80"/>
        <v>#DIV/0!</v>
      </c>
      <c r="BX7" s="91">
        <f t="shared" si="81"/>
        <v>4.6118654073199532E-2</v>
      </c>
      <c r="BY7" s="92">
        <f t="shared" si="48"/>
        <v>5.0000000000000001E-3</v>
      </c>
      <c r="BZ7" s="233">
        <f t="shared" si="49"/>
        <v>0</v>
      </c>
      <c r="CA7" s="92">
        <f t="shared" si="50"/>
        <v>0</v>
      </c>
      <c r="CB7" s="92">
        <f t="shared" si="51"/>
        <v>0</v>
      </c>
      <c r="CC7" s="92">
        <f t="shared" si="52"/>
        <v>0</v>
      </c>
      <c r="CD7" s="92">
        <f t="shared" si="53"/>
        <v>0</v>
      </c>
      <c r="CE7" s="127">
        <f t="shared" si="82"/>
        <v>5.1118654073199529E-2</v>
      </c>
      <c r="CF7" s="91">
        <f t="shared" si="83"/>
        <v>0.1910629954461123</v>
      </c>
      <c r="CG7" s="92">
        <f t="shared" si="54"/>
        <v>0.14307896103896106</v>
      </c>
      <c r="CH7" s="92">
        <f t="shared" si="55"/>
        <v>9.8376623376623396E-3</v>
      </c>
      <c r="CI7" s="92">
        <f t="shared" si="56"/>
        <v>5.5440000000000003E-2</v>
      </c>
      <c r="CJ7" s="93">
        <f t="shared" si="57"/>
        <v>0.09</v>
      </c>
      <c r="CK7" s="127">
        <f t="shared" si="84"/>
        <v>0.48941961882273577</v>
      </c>
      <c r="CL7" s="91">
        <f t="shared" si="58"/>
        <v>0.15</v>
      </c>
      <c r="CM7" s="92">
        <f t="shared" si="59"/>
        <v>0</v>
      </c>
      <c r="CN7" s="92">
        <f t="shared" si="60"/>
        <v>0</v>
      </c>
      <c r="CO7" s="92">
        <f t="shared" si="61"/>
        <v>0</v>
      </c>
      <c r="CP7" s="92">
        <f t="shared" si="62"/>
        <v>0</v>
      </c>
      <c r="CQ7" s="92">
        <f t="shared" si="63"/>
        <v>0</v>
      </c>
      <c r="CR7" s="127">
        <f t="shared" si="85"/>
        <v>0.15</v>
      </c>
      <c r="CS7" s="92">
        <f t="shared" si="86"/>
        <v>0.69053827289593528</v>
      </c>
      <c r="CT7" s="92">
        <f t="shared" si="64"/>
        <v>8.1905382728959353</v>
      </c>
      <c r="CU7" s="93">
        <f t="shared" si="65"/>
        <v>0.91569073363822018</v>
      </c>
      <c r="CV7">
        <f t="shared" si="87"/>
        <v>9.24</v>
      </c>
    </row>
    <row r="8" spans="1:100" ht="15.75" thickBot="1" x14ac:dyDescent="0.3">
      <c r="A8" s="12" t="s">
        <v>287</v>
      </c>
      <c r="B8" s="19">
        <f>B7/Fsw</f>
        <v>6.6666666666666671E-7</v>
      </c>
      <c r="C8" s="12" t="s">
        <v>312</v>
      </c>
      <c r="K8">
        <v>4</v>
      </c>
      <c r="L8" s="91">
        <f t="shared" si="0"/>
        <v>10.32</v>
      </c>
      <c r="M8" s="93">
        <f t="shared" si="1"/>
        <v>0.72674418604651159</v>
      </c>
      <c r="N8" s="122">
        <f t="shared" si="66"/>
        <v>4.6145514351529487E-5</v>
      </c>
      <c r="O8" s="97">
        <f t="shared" si="67"/>
        <v>4.1530962916376542E-5</v>
      </c>
      <c r="P8" s="123">
        <f t="shared" si="68"/>
        <v>3.7755420833069578E-5</v>
      </c>
      <c r="Q8" s="127">
        <f t="shared" si="69"/>
        <v>0.59241706161137442</v>
      </c>
      <c r="R8" s="91">
        <f t="shared" si="70"/>
        <v>1.2267441860465116</v>
      </c>
      <c r="S8" s="92">
        <f t="shared" si="2"/>
        <v>0.13586097946287523</v>
      </c>
      <c r="T8" s="92">
        <f t="shared" si="71"/>
        <v>1.2946746757779493</v>
      </c>
      <c r="U8" s="92" t="e">
        <f t="shared" si="3"/>
        <v>#DIV/0!</v>
      </c>
      <c r="V8" s="118">
        <f t="shared" si="72"/>
        <v>0.94469066434977456</v>
      </c>
      <c r="W8" s="103">
        <f t="shared" si="73"/>
        <v>0.60355889468817525</v>
      </c>
      <c r="X8" s="117">
        <f t="shared" si="4"/>
        <v>1.2267441860465116</v>
      </c>
      <c r="Y8" s="103">
        <f t="shared" si="5"/>
        <v>0.13586097946287523</v>
      </c>
      <c r="Z8" s="103">
        <f t="shared" si="6"/>
        <v>0.78358090233301214</v>
      </c>
      <c r="AA8" s="118">
        <f t="shared" si="7"/>
        <v>1.1202237713952148</v>
      </c>
      <c r="AB8" s="117">
        <f t="shared" si="8"/>
        <v>0</v>
      </c>
      <c r="AC8" s="103">
        <f t="shared" si="9"/>
        <v>0</v>
      </c>
      <c r="AD8" s="103" t="e">
        <f t="shared" si="10"/>
        <v>#DIV/0!</v>
      </c>
      <c r="AE8" s="118">
        <f t="shared" si="11"/>
        <v>0</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163">
        <f t="shared" si="28"/>
        <v>3.9130466435159911E-2</v>
      </c>
      <c r="AW8" s="143">
        <f t="shared" si="74"/>
        <v>0</v>
      </c>
      <c r="AX8" s="154">
        <f t="shared" si="29"/>
        <v>0</v>
      </c>
      <c r="AY8" s="155">
        <v>4</v>
      </c>
      <c r="AZ8" s="156">
        <f t="shared" si="30"/>
        <v>0</v>
      </c>
      <c r="BA8" s="157">
        <f t="shared" si="31"/>
        <v>39.846349298589097</v>
      </c>
      <c r="BB8" s="158">
        <f t="shared" si="32"/>
        <v>1.4703302891179377E-2</v>
      </c>
      <c r="BC8" s="157">
        <f t="shared" si="75"/>
        <v>45.621071568105272</v>
      </c>
      <c r="BD8" s="159">
        <f t="shared" si="33"/>
        <v>1.6834175408630844E-2</v>
      </c>
      <c r="BE8" s="24" t="e">
        <f t="shared" si="34"/>
        <v>#DIV/0!</v>
      </c>
      <c r="BF8" s="27" t="e">
        <f t="shared" si="35"/>
        <v>#DIV/0!</v>
      </c>
      <c r="BG8" s="24" t="e">
        <f t="shared" si="36"/>
        <v>#DIV/0!</v>
      </c>
      <c r="BH8" s="61" t="e">
        <f t="shared" si="37"/>
        <v>#DIV/0!</v>
      </c>
      <c r="BI8" s="24">
        <f t="shared" si="38"/>
        <v>0</v>
      </c>
      <c r="BJ8" s="27" t="e">
        <f t="shared" si="39"/>
        <v>#DIV/0!</v>
      </c>
      <c r="BK8" s="24">
        <f t="shared" si="40"/>
        <v>0</v>
      </c>
      <c r="BL8" s="27">
        <f t="shared" si="41"/>
        <v>0</v>
      </c>
      <c r="BM8" s="24">
        <f t="shared" si="42"/>
        <v>0</v>
      </c>
      <c r="BN8" s="27">
        <f t="shared" si="43"/>
        <v>0</v>
      </c>
      <c r="BO8" s="24">
        <f t="shared" si="44"/>
        <v>0</v>
      </c>
      <c r="BP8" s="27">
        <f t="shared" si="45"/>
        <v>0</v>
      </c>
      <c r="BQ8" s="147">
        <f t="shared" si="46"/>
        <v>0</v>
      </c>
      <c r="BR8" s="27">
        <f t="shared" si="47"/>
        <v>0</v>
      </c>
      <c r="BS8" s="91" t="e">
        <f t="shared" si="76"/>
        <v>#DIV/0!</v>
      </c>
      <c r="BT8" s="101" t="e">
        <f t="shared" si="77"/>
        <v>#DIV/0!</v>
      </c>
      <c r="BU8" s="206" t="e">
        <f t="shared" si="78"/>
        <v>#DIV/0!</v>
      </c>
      <c r="BV8" s="97" t="e">
        <f t="shared" si="79"/>
        <v>#DIV/0!</v>
      </c>
      <c r="BW8" s="123" t="e">
        <f t="shared" si="80"/>
        <v>#DIV/0!</v>
      </c>
      <c r="BX8" s="91">
        <f t="shared" si="81"/>
        <v>3.6970997836668469E-2</v>
      </c>
      <c r="BY8" s="92">
        <f t="shared" si="48"/>
        <v>5.0000000000000001E-3</v>
      </c>
      <c r="BZ8" s="233">
        <f t="shared" si="49"/>
        <v>0</v>
      </c>
      <c r="CA8" s="92">
        <f t="shared" si="50"/>
        <v>0</v>
      </c>
      <c r="CB8" s="92">
        <f t="shared" si="51"/>
        <v>0</v>
      </c>
      <c r="CC8" s="92">
        <f t="shared" si="52"/>
        <v>0</v>
      </c>
      <c r="CD8" s="92">
        <f t="shared" si="53"/>
        <v>0</v>
      </c>
      <c r="CE8" s="127">
        <f t="shared" si="82"/>
        <v>4.1970997836668467E-2</v>
      </c>
      <c r="CF8" s="91">
        <f t="shared" si="83"/>
        <v>0.15316556246619792</v>
      </c>
      <c r="CG8" s="92">
        <f t="shared" si="54"/>
        <v>0.13977523255813953</v>
      </c>
      <c r="CH8" s="92">
        <f t="shared" si="55"/>
        <v>9.2005813953488381E-3</v>
      </c>
      <c r="CI8" s="92">
        <f t="shared" si="56"/>
        <v>6.192000000000001E-2</v>
      </c>
      <c r="CJ8" s="93">
        <f t="shared" si="57"/>
        <v>0.09</v>
      </c>
      <c r="CK8" s="127">
        <f t="shared" si="84"/>
        <v>0.45406137641968636</v>
      </c>
      <c r="CL8" s="91">
        <f t="shared" si="58"/>
        <v>0.15</v>
      </c>
      <c r="CM8" s="92">
        <f t="shared" si="59"/>
        <v>0</v>
      </c>
      <c r="CN8" s="92">
        <f t="shared" si="60"/>
        <v>0</v>
      </c>
      <c r="CO8" s="92">
        <f t="shared" si="61"/>
        <v>0</v>
      </c>
      <c r="CP8" s="92">
        <f t="shared" si="62"/>
        <v>0</v>
      </c>
      <c r="CQ8" s="92">
        <f t="shared" si="63"/>
        <v>0</v>
      </c>
      <c r="CR8" s="127">
        <f t="shared" si="85"/>
        <v>0.15</v>
      </c>
      <c r="CS8" s="92">
        <f t="shared" si="86"/>
        <v>0.64603237425635485</v>
      </c>
      <c r="CT8" s="92">
        <f t="shared" si="64"/>
        <v>8.1460323742563556</v>
      </c>
      <c r="CU8" s="93">
        <f t="shared" si="65"/>
        <v>0.9206936156676726</v>
      </c>
      <c r="CV8">
        <f t="shared" si="87"/>
        <v>10.32</v>
      </c>
    </row>
    <row r="9" spans="1:100" ht="15.75" thickBot="1" x14ac:dyDescent="0.3">
      <c r="A9" s="12" t="s">
        <v>285</v>
      </c>
      <c r="B9" s="12">
        <f>IF(VoutPri_FBB&lt;0,ABS(VoutPri_FBB)/(VinMin+ABS(VoutPri_FBB)),0)</f>
        <v>0.7142857142857143</v>
      </c>
      <c r="C9" s="12"/>
      <c r="K9">
        <v>5</v>
      </c>
      <c r="L9" s="91">
        <f t="shared" si="0"/>
        <v>11.4</v>
      </c>
      <c r="M9" s="93">
        <f t="shared" si="1"/>
        <v>0.6578947368421052</v>
      </c>
      <c r="N9" s="122">
        <f t="shared" si="66"/>
        <v>5.1796372819100099E-5</v>
      </c>
      <c r="O9" s="97">
        <f t="shared" si="67"/>
        <v>4.6616735537190097E-5</v>
      </c>
      <c r="P9" s="123">
        <f t="shared" si="68"/>
        <v>4.2378850488354628E-5</v>
      </c>
      <c r="Q9" s="127">
        <f t="shared" si="69"/>
        <v>0.56818181818181823</v>
      </c>
      <c r="R9" s="91">
        <f t="shared" si="70"/>
        <v>1.1578947368421051</v>
      </c>
      <c r="S9" s="92">
        <f t="shared" si="2"/>
        <v>0.14393939393939398</v>
      </c>
      <c r="T9" s="92">
        <f t="shared" si="71"/>
        <v>1.2298644338118021</v>
      </c>
      <c r="U9" s="92" t="e">
        <f t="shared" si="3"/>
        <v>#DIV/0!</v>
      </c>
      <c r="V9" s="118">
        <f t="shared" si="72"/>
        <v>0.87335779901197885</v>
      </c>
      <c r="W9" s="103">
        <f t="shared" si="73"/>
        <v>0.57439390694061621</v>
      </c>
      <c r="X9" s="117">
        <f t="shared" si="4"/>
        <v>1.1578947368421053</v>
      </c>
      <c r="Y9" s="103">
        <f t="shared" si="5"/>
        <v>0.14393939393939395</v>
      </c>
      <c r="Z9" s="103">
        <f t="shared" si="6"/>
        <v>0.7613756774892646</v>
      </c>
      <c r="AA9" s="118">
        <f t="shared" si="7"/>
        <v>1.0443755175254963</v>
      </c>
      <c r="AB9" s="117">
        <f t="shared" si="8"/>
        <v>0</v>
      </c>
      <c r="AC9" s="103">
        <f t="shared" si="9"/>
        <v>0</v>
      </c>
      <c r="AD9" s="103" t="e">
        <f t="shared" si="10"/>
        <v>#DIV/0!</v>
      </c>
      <c r="AE9" s="118">
        <f t="shared" si="11"/>
        <v>0</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163">
        <f t="shared" si="28"/>
        <v>4.1457198715263238E-2</v>
      </c>
      <c r="AW9" s="143">
        <f t="shared" si="74"/>
        <v>0</v>
      </c>
      <c r="AX9" s="154">
        <f t="shared" si="29"/>
        <v>0</v>
      </c>
      <c r="AY9" s="155">
        <v>5</v>
      </c>
      <c r="AZ9" s="156">
        <f t="shared" si="30"/>
        <v>0</v>
      </c>
      <c r="BA9" s="157">
        <f t="shared" si="31"/>
        <v>46.463770288717399</v>
      </c>
      <c r="BB9" s="158">
        <f t="shared" si="32"/>
        <v>1.7145131236536722E-2</v>
      </c>
      <c r="BC9" s="157">
        <f t="shared" si="75"/>
        <v>52.586516914280132</v>
      </c>
      <c r="BD9" s="159">
        <f t="shared" si="33"/>
        <v>1.9404424741369369E-2</v>
      </c>
      <c r="BE9" s="24" t="e">
        <f t="shared" si="34"/>
        <v>#DIV/0!</v>
      </c>
      <c r="BF9" s="27" t="e">
        <f t="shared" si="35"/>
        <v>#DIV/0!</v>
      </c>
      <c r="BG9" s="24" t="e">
        <f t="shared" si="36"/>
        <v>#DIV/0!</v>
      </c>
      <c r="BH9" s="61" t="e">
        <f t="shared" si="37"/>
        <v>#DIV/0!</v>
      </c>
      <c r="BI9" s="24">
        <f t="shared" si="38"/>
        <v>0</v>
      </c>
      <c r="BJ9" s="27" t="e">
        <f t="shared" si="39"/>
        <v>#DIV/0!</v>
      </c>
      <c r="BK9" s="24">
        <f t="shared" si="40"/>
        <v>0</v>
      </c>
      <c r="BL9" s="27">
        <f t="shared" si="41"/>
        <v>0</v>
      </c>
      <c r="BM9" s="24">
        <f t="shared" si="42"/>
        <v>0</v>
      </c>
      <c r="BN9" s="27">
        <f t="shared" si="43"/>
        <v>0</v>
      </c>
      <c r="BO9" s="24">
        <f t="shared" si="44"/>
        <v>0</v>
      </c>
      <c r="BP9" s="27">
        <f t="shared" si="45"/>
        <v>0</v>
      </c>
      <c r="BQ9" s="147">
        <f t="shared" si="46"/>
        <v>0</v>
      </c>
      <c r="BR9" s="27">
        <f t="shared" si="47"/>
        <v>0</v>
      </c>
      <c r="BS9" s="91" t="e">
        <f t="shared" si="76"/>
        <v>#DIV/0!</v>
      </c>
      <c r="BT9" s="101" t="e">
        <f t="shared" si="77"/>
        <v>#DIV/0!</v>
      </c>
      <c r="BU9" s="206" t="e">
        <f t="shared" si="78"/>
        <v>#DIV/0!</v>
      </c>
      <c r="BV9" s="97" t="e">
        <f t="shared" si="79"/>
        <v>#DIV/0!</v>
      </c>
      <c r="BW9" s="123" t="e">
        <f t="shared" si="80"/>
        <v>#DIV/0!</v>
      </c>
      <c r="BX9" s="91">
        <f t="shared" si="81"/>
        <v>3.0297783933518004E-2</v>
      </c>
      <c r="BY9" s="92">
        <f t="shared" si="48"/>
        <v>5.0000000000000001E-3</v>
      </c>
      <c r="BZ9" s="233">
        <f t="shared" si="49"/>
        <v>0</v>
      </c>
      <c r="CA9" s="92">
        <f t="shared" si="50"/>
        <v>0</v>
      </c>
      <c r="CB9" s="92">
        <f t="shared" si="51"/>
        <v>0</v>
      </c>
      <c r="CC9" s="92">
        <f t="shared" si="52"/>
        <v>0</v>
      </c>
      <c r="CD9" s="92">
        <f t="shared" si="53"/>
        <v>0</v>
      </c>
      <c r="CE9" s="127">
        <f t="shared" si="82"/>
        <v>3.5297783933518005E-2</v>
      </c>
      <c r="CF9" s="91">
        <f t="shared" si="83"/>
        <v>0.12551939058171743</v>
      </c>
      <c r="CG9" s="92">
        <f t="shared" si="54"/>
        <v>0.13755789473684207</v>
      </c>
      <c r="CH9" s="92">
        <f t="shared" si="55"/>
        <v>8.6842105263157891E-3</v>
      </c>
      <c r="CI9" s="92">
        <f t="shared" si="56"/>
        <v>6.8400000000000002E-2</v>
      </c>
      <c r="CJ9" s="93">
        <f t="shared" si="57"/>
        <v>0.09</v>
      </c>
      <c r="CK9" s="127">
        <f t="shared" si="84"/>
        <v>0.43016149584487529</v>
      </c>
      <c r="CL9" s="91">
        <f t="shared" si="58"/>
        <v>0.15</v>
      </c>
      <c r="CM9" s="92">
        <f t="shared" si="59"/>
        <v>0</v>
      </c>
      <c r="CN9" s="92">
        <f t="shared" si="60"/>
        <v>0</v>
      </c>
      <c r="CO9" s="92">
        <f t="shared" si="61"/>
        <v>0</v>
      </c>
      <c r="CP9" s="92">
        <f t="shared" si="62"/>
        <v>0</v>
      </c>
      <c r="CQ9" s="92">
        <f t="shared" si="63"/>
        <v>0</v>
      </c>
      <c r="CR9" s="127">
        <f t="shared" si="85"/>
        <v>0.15</v>
      </c>
      <c r="CS9" s="92">
        <f t="shared" si="86"/>
        <v>0.61545927977839332</v>
      </c>
      <c r="CT9" s="92">
        <f t="shared" si="64"/>
        <v>8.1154592797783938</v>
      </c>
      <c r="CU9" s="93">
        <f t="shared" si="65"/>
        <v>0.92416211349714272</v>
      </c>
      <c r="CV9">
        <f t="shared" si="87"/>
        <v>11.4</v>
      </c>
    </row>
    <row r="10" spans="1:100" ht="15.75" thickBot="1" x14ac:dyDescent="0.3">
      <c r="A10" s="12" t="s">
        <v>286</v>
      </c>
      <c r="B10" s="19">
        <f>B9/Fsw</f>
        <v>2.3809523809523812E-6</v>
      </c>
      <c r="C10" s="12" t="s">
        <v>312</v>
      </c>
      <c r="K10">
        <v>6</v>
      </c>
      <c r="L10" s="91">
        <f t="shared" si="0"/>
        <v>12.48</v>
      </c>
      <c r="M10" s="93">
        <f t="shared" si="1"/>
        <v>0.60096153846153844</v>
      </c>
      <c r="N10" s="122">
        <f t="shared" si="66"/>
        <v>5.7291898408581908E-5</v>
      </c>
      <c r="O10" s="97">
        <f t="shared" si="67"/>
        <v>5.1562708567723727E-5</v>
      </c>
      <c r="P10" s="123">
        <f t="shared" si="68"/>
        <v>4.6875189607021565E-5</v>
      </c>
      <c r="Q10" s="127">
        <f t="shared" si="69"/>
        <v>0.54585152838427942</v>
      </c>
      <c r="R10" s="91">
        <f t="shared" si="70"/>
        <v>1.1009615384615385</v>
      </c>
      <c r="S10" s="92">
        <f t="shared" si="2"/>
        <v>0.15138282387190685</v>
      </c>
      <c r="T10" s="92">
        <f t="shared" si="71"/>
        <v>1.1766529503974921</v>
      </c>
      <c r="U10" s="92" t="e">
        <f t="shared" si="3"/>
        <v>#DIV/0!</v>
      </c>
      <c r="V10" s="118">
        <f t="shared" si="72"/>
        <v>0.81405034792153608</v>
      </c>
      <c r="W10" s="103">
        <f t="shared" si="73"/>
        <v>0.5491112803805025</v>
      </c>
      <c r="X10" s="117">
        <f t="shared" si="4"/>
        <v>1.1009615384615383</v>
      </c>
      <c r="Y10" s="103">
        <f t="shared" si="5"/>
        <v>0.15138282387190688</v>
      </c>
      <c r="Z10" s="103">
        <f t="shared" si="6"/>
        <v>0.74252816119483078</v>
      </c>
      <c r="AA10" s="118">
        <f t="shared" si="7"/>
        <v>0.9808752770722674</v>
      </c>
      <c r="AB10" s="117">
        <f t="shared" si="8"/>
        <v>0</v>
      </c>
      <c r="AC10" s="103">
        <f t="shared" si="9"/>
        <v>0</v>
      </c>
      <c r="AD10" s="103" t="e">
        <f t="shared" si="10"/>
        <v>#DIV/0!</v>
      </c>
      <c r="AE10" s="118">
        <f t="shared" si="11"/>
        <v>0</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163">
        <f t="shared" si="28"/>
        <v>4.3601043741908652E-2</v>
      </c>
      <c r="AW10" s="143">
        <f t="shared" si="74"/>
        <v>0</v>
      </c>
      <c r="AX10" s="154">
        <f t="shared" si="29"/>
        <v>0</v>
      </c>
      <c r="AY10" s="155">
        <v>6</v>
      </c>
      <c r="AZ10" s="156">
        <f t="shared" si="30"/>
        <v>0</v>
      </c>
      <c r="BA10" s="157">
        <f t="shared" si="31"/>
        <v>53.132504542081534</v>
      </c>
      <c r="BB10" s="158">
        <f t="shared" si="32"/>
        <v>1.9605894176028087E-2</v>
      </c>
      <c r="BC10" s="157">
        <f t="shared" si="75"/>
        <v>59.530682284698017</v>
      </c>
      <c r="BD10" s="159">
        <f t="shared" si="33"/>
        <v>2.1966821763053566E-2</v>
      </c>
      <c r="BE10" s="24" t="e">
        <f t="shared" si="34"/>
        <v>#DIV/0!</v>
      </c>
      <c r="BF10" s="27" t="e">
        <f t="shared" si="35"/>
        <v>#DIV/0!</v>
      </c>
      <c r="BG10" s="24" t="e">
        <f t="shared" si="36"/>
        <v>#DIV/0!</v>
      </c>
      <c r="BH10" s="61" t="e">
        <f t="shared" si="37"/>
        <v>#DIV/0!</v>
      </c>
      <c r="BI10" s="24">
        <f t="shared" si="38"/>
        <v>0</v>
      </c>
      <c r="BJ10" s="27" t="e">
        <f t="shared" si="39"/>
        <v>#DIV/0!</v>
      </c>
      <c r="BK10" s="24">
        <f t="shared" si="40"/>
        <v>0</v>
      </c>
      <c r="BL10" s="27">
        <f t="shared" si="41"/>
        <v>0</v>
      </c>
      <c r="BM10" s="24">
        <f t="shared" si="42"/>
        <v>0</v>
      </c>
      <c r="BN10" s="27">
        <f t="shared" si="43"/>
        <v>0</v>
      </c>
      <c r="BO10" s="24">
        <f t="shared" si="44"/>
        <v>0</v>
      </c>
      <c r="BP10" s="27">
        <f t="shared" si="45"/>
        <v>0</v>
      </c>
      <c r="BQ10" s="147">
        <f t="shared" si="46"/>
        <v>0</v>
      </c>
      <c r="BR10" s="27">
        <f t="shared" si="47"/>
        <v>0</v>
      </c>
      <c r="BS10" s="91" t="e">
        <f t="shared" si="76"/>
        <v>#DIV/0!</v>
      </c>
      <c r="BT10" s="101" t="e">
        <f t="shared" si="77"/>
        <v>#DIV/0!</v>
      </c>
      <c r="BU10" s="206" t="e">
        <f t="shared" si="78"/>
        <v>#DIV/0!</v>
      </c>
      <c r="BV10" s="97" t="e">
        <f t="shared" si="79"/>
        <v>#DIV/0!</v>
      </c>
      <c r="BW10" s="123" t="e">
        <f t="shared" si="80"/>
        <v>#DIV/0!</v>
      </c>
      <c r="BX10" s="91">
        <f t="shared" si="81"/>
        <v>2.5280833949704141E-2</v>
      </c>
      <c r="BY10" s="92">
        <f t="shared" si="48"/>
        <v>5.0000000000000001E-3</v>
      </c>
      <c r="BZ10" s="233">
        <f t="shared" si="49"/>
        <v>0</v>
      </c>
      <c r="CA10" s="92">
        <f t="shared" si="50"/>
        <v>0</v>
      </c>
      <c r="CB10" s="92">
        <f t="shared" si="51"/>
        <v>0</v>
      </c>
      <c r="CC10" s="92">
        <f t="shared" si="52"/>
        <v>0</v>
      </c>
      <c r="CD10" s="92">
        <f t="shared" si="53"/>
        <v>0</v>
      </c>
      <c r="CE10" s="127">
        <f t="shared" si="82"/>
        <v>3.0280833949704142E-2</v>
      </c>
      <c r="CF10" s="91">
        <f t="shared" si="83"/>
        <v>0.10473488350591714</v>
      </c>
      <c r="CG10" s="92">
        <f t="shared" si="54"/>
        <v>0.13614490384615388</v>
      </c>
      <c r="CH10" s="92">
        <f t="shared" si="55"/>
        <v>8.2572115384615397E-3</v>
      </c>
      <c r="CI10" s="92">
        <f t="shared" si="56"/>
        <v>7.4880000000000002E-2</v>
      </c>
      <c r="CJ10" s="93">
        <f t="shared" si="57"/>
        <v>0.09</v>
      </c>
      <c r="CK10" s="127">
        <f t="shared" si="84"/>
        <v>0.41401699889053256</v>
      </c>
      <c r="CL10" s="91">
        <f t="shared" si="58"/>
        <v>0.15</v>
      </c>
      <c r="CM10" s="92">
        <f t="shared" si="59"/>
        <v>0</v>
      </c>
      <c r="CN10" s="92">
        <f t="shared" si="60"/>
        <v>0</v>
      </c>
      <c r="CO10" s="92">
        <f t="shared" si="61"/>
        <v>0</v>
      </c>
      <c r="CP10" s="92">
        <f t="shared" si="62"/>
        <v>0</v>
      </c>
      <c r="CQ10" s="92">
        <f t="shared" si="63"/>
        <v>0</v>
      </c>
      <c r="CR10" s="127">
        <f t="shared" si="85"/>
        <v>0.15</v>
      </c>
      <c r="CS10" s="92">
        <f t="shared" si="86"/>
        <v>0.59429783284023674</v>
      </c>
      <c r="CT10" s="92">
        <f t="shared" si="64"/>
        <v>8.0942978328402369</v>
      </c>
      <c r="CU10" s="93">
        <f t="shared" si="65"/>
        <v>0.92657821035086607</v>
      </c>
      <c r="CV10">
        <f t="shared" si="87"/>
        <v>12.48</v>
      </c>
    </row>
    <row r="11" spans="1:100" ht="15.75" thickBot="1" x14ac:dyDescent="0.3">
      <c r="A11" s="524" t="s">
        <v>282</v>
      </c>
      <c r="B11" s="524"/>
      <c r="C11" s="524"/>
      <c r="K11">
        <v>7</v>
      </c>
      <c r="L11" s="91">
        <f t="shared" si="0"/>
        <v>13.56</v>
      </c>
      <c r="M11" s="93">
        <f t="shared" si="1"/>
        <v>0.55309734513274333</v>
      </c>
      <c r="N11" s="122">
        <f t="shared" si="66"/>
        <v>6.2618184528713425E-5</v>
      </c>
      <c r="O11" s="97">
        <f t="shared" si="67"/>
        <v>5.6356366075842078E-5</v>
      </c>
      <c r="P11" s="123">
        <f t="shared" si="68"/>
        <v>5.1233060068947343E-5</v>
      </c>
      <c r="Q11" s="127">
        <f t="shared" si="69"/>
        <v>0.52521008403361336</v>
      </c>
      <c r="R11" s="91">
        <f t="shared" si="70"/>
        <v>1.0530973451327434</v>
      </c>
      <c r="S11" s="92">
        <f t="shared" si="2"/>
        <v>0.15826330532212884</v>
      </c>
      <c r="T11" s="92">
        <f t="shared" si="71"/>
        <v>1.1322289977938078</v>
      </c>
      <c r="U11" s="92" t="e">
        <f t="shared" si="3"/>
        <v>#DIV/0!</v>
      </c>
      <c r="V11" s="118">
        <f t="shared" si="72"/>
        <v>0.76391203845155231</v>
      </c>
      <c r="W11" s="103">
        <f t="shared" si="73"/>
        <v>0.52692023048874947</v>
      </c>
      <c r="X11" s="117">
        <f t="shared" si="4"/>
        <v>1.0530973451327432</v>
      </c>
      <c r="Y11" s="103">
        <f t="shared" si="5"/>
        <v>0.1582633053221289</v>
      </c>
      <c r="Z11" s="103">
        <f t="shared" si="6"/>
        <v>0.72631927459764567</v>
      </c>
      <c r="AA11" s="118">
        <f t="shared" si="7"/>
        <v>0.92683009140059325</v>
      </c>
      <c r="AB11" s="117">
        <f t="shared" si="8"/>
        <v>0</v>
      </c>
      <c r="AC11" s="103">
        <f t="shared" si="9"/>
        <v>0</v>
      </c>
      <c r="AD11" s="103" t="e">
        <f t="shared" si="10"/>
        <v>#DIV/0!</v>
      </c>
      <c r="AE11" s="118">
        <f t="shared" si="11"/>
        <v>0</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163">
        <f t="shared" si="28"/>
        <v>4.558274922872374E-2</v>
      </c>
      <c r="AW11" s="143">
        <f t="shared" si="74"/>
        <v>0</v>
      </c>
      <c r="AX11" s="154">
        <f t="shared" si="29"/>
        <v>0</v>
      </c>
      <c r="AY11" s="155">
        <v>7</v>
      </c>
      <c r="AZ11" s="156">
        <f t="shared" si="30"/>
        <v>0</v>
      </c>
      <c r="BA11" s="157">
        <f t="shared" si="31"/>
        <v>59.80093060449461</v>
      </c>
      <c r="BB11" s="158">
        <f t="shared" si="32"/>
        <v>2.206654339305851E-2</v>
      </c>
      <c r="BC11" s="157">
        <f t="shared" si="75"/>
        <v>66.409129662418209</v>
      </c>
      <c r="BD11" s="159">
        <f t="shared" si="33"/>
        <v>2.450496884543232E-2</v>
      </c>
      <c r="BE11" s="24" t="e">
        <f t="shared" si="34"/>
        <v>#DIV/0!</v>
      </c>
      <c r="BF11" s="27" t="e">
        <f t="shared" si="35"/>
        <v>#DIV/0!</v>
      </c>
      <c r="BG11" s="24" t="e">
        <f t="shared" si="36"/>
        <v>#DIV/0!</v>
      </c>
      <c r="BH11" s="61" t="e">
        <f t="shared" si="37"/>
        <v>#DIV/0!</v>
      </c>
      <c r="BI11" s="24">
        <f t="shared" si="38"/>
        <v>0</v>
      </c>
      <c r="BJ11" s="27" t="e">
        <f t="shared" si="39"/>
        <v>#DIV/0!</v>
      </c>
      <c r="BK11" s="24">
        <f t="shared" si="40"/>
        <v>0</v>
      </c>
      <c r="BL11" s="27">
        <f t="shared" si="41"/>
        <v>0</v>
      </c>
      <c r="BM11" s="24">
        <f t="shared" si="42"/>
        <v>0</v>
      </c>
      <c r="BN11" s="27">
        <f t="shared" si="43"/>
        <v>0</v>
      </c>
      <c r="BO11" s="24">
        <f t="shared" si="44"/>
        <v>0</v>
      </c>
      <c r="BP11" s="27">
        <f t="shared" si="45"/>
        <v>0</v>
      </c>
      <c r="BQ11" s="147">
        <f t="shared" si="46"/>
        <v>0</v>
      </c>
      <c r="BR11" s="27">
        <f t="shared" si="47"/>
        <v>0</v>
      </c>
      <c r="BS11" s="91" t="e">
        <f t="shared" si="76"/>
        <v>#DIV/0!</v>
      </c>
      <c r="BT11" s="101" t="e">
        <f t="shared" si="77"/>
        <v>#DIV/0!</v>
      </c>
      <c r="BU11" s="206" t="e">
        <f t="shared" si="78"/>
        <v>#DIV/0!</v>
      </c>
      <c r="BV11" s="97" t="e">
        <f t="shared" si="79"/>
        <v>#DIV/0!</v>
      </c>
      <c r="BW11" s="123" t="e">
        <f t="shared" si="80"/>
        <v>#DIV/0!</v>
      </c>
      <c r="BX11" s="91">
        <f t="shared" si="81"/>
        <v>2.1414167123502234E-2</v>
      </c>
      <c r="BY11" s="92">
        <f t="shared" si="48"/>
        <v>5.0000000000000001E-3</v>
      </c>
      <c r="BZ11" s="233">
        <f t="shared" si="49"/>
        <v>0</v>
      </c>
      <c r="CA11" s="92">
        <f t="shared" si="50"/>
        <v>0</v>
      </c>
      <c r="CB11" s="92">
        <f t="shared" si="51"/>
        <v>0</v>
      </c>
      <c r="CC11" s="92">
        <f t="shared" si="52"/>
        <v>0</v>
      </c>
      <c r="CD11" s="92">
        <f t="shared" si="53"/>
        <v>0</v>
      </c>
      <c r="CE11" s="127">
        <f t="shared" si="82"/>
        <v>2.6414167123502235E-2</v>
      </c>
      <c r="CF11" s="91">
        <f t="shared" si="83"/>
        <v>8.8715835225937803E-2</v>
      </c>
      <c r="CG11" s="92">
        <f t="shared" si="54"/>
        <v>0.13534407079646021</v>
      </c>
      <c r="CH11" s="92">
        <f t="shared" si="55"/>
        <v>7.8982300884955763E-3</v>
      </c>
      <c r="CI11" s="92">
        <f t="shared" si="56"/>
        <v>8.1360000000000002E-2</v>
      </c>
      <c r="CJ11" s="93">
        <f t="shared" si="57"/>
        <v>0.09</v>
      </c>
      <c r="CK11" s="127">
        <f t="shared" si="84"/>
        <v>0.40331813611089362</v>
      </c>
      <c r="CL11" s="91">
        <f t="shared" si="58"/>
        <v>0.15</v>
      </c>
      <c r="CM11" s="92">
        <f t="shared" si="59"/>
        <v>0</v>
      </c>
      <c r="CN11" s="92">
        <f t="shared" si="60"/>
        <v>0</v>
      </c>
      <c r="CO11" s="92">
        <f t="shared" si="61"/>
        <v>0</v>
      </c>
      <c r="CP11" s="92">
        <f t="shared" si="62"/>
        <v>0</v>
      </c>
      <c r="CQ11" s="92">
        <f t="shared" si="63"/>
        <v>0</v>
      </c>
      <c r="CR11" s="127">
        <f t="shared" si="85"/>
        <v>0.15</v>
      </c>
      <c r="CS11" s="92">
        <f t="shared" si="86"/>
        <v>0.57973230323439584</v>
      </c>
      <c r="CT11" s="92">
        <f t="shared" si="64"/>
        <v>8.0797323032343957</v>
      </c>
      <c r="CU11" s="93">
        <f t="shared" si="65"/>
        <v>0.92824857538877581</v>
      </c>
      <c r="CV11">
        <f t="shared" si="87"/>
        <v>13.56</v>
      </c>
    </row>
    <row r="12" spans="1:100" ht="15.75" thickBot="1" x14ac:dyDescent="0.3">
      <c r="A12" s="12" t="s">
        <v>298</v>
      </c>
      <c r="B12" s="21">
        <f>IF(AND(VoutPri_FBB&lt;0,Vout1&lt;&gt;0),((ABS(Vout1)+Vdiode1)/ABS(VoutPri_FBB))*Np,0)</f>
        <v>1.02</v>
      </c>
      <c r="C12" s="12"/>
      <c r="G12" t="s">
        <v>31</v>
      </c>
      <c r="H12" t="s">
        <v>47</v>
      </c>
      <c r="I12" t="s">
        <v>56</v>
      </c>
      <c r="K12">
        <v>8</v>
      </c>
      <c r="L12" s="91">
        <f t="shared" si="0"/>
        <v>14.64</v>
      </c>
      <c r="M12" s="93">
        <f t="shared" si="1"/>
        <v>0.51229508196721307</v>
      </c>
      <c r="N12" s="122">
        <f t="shared" si="66"/>
        <v>6.7767779252969975E-5</v>
      </c>
      <c r="O12" s="97">
        <f t="shared" si="67"/>
        <v>6.0991001327672977E-5</v>
      </c>
      <c r="P12" s="123">
        <f t="shared" si="68"/>
        <v>5.5446364843339057E-5</v>
      </c>
      <c r="Q12" s="127">
        <f t="shared" si="69"/>
        <v>0.50607287449392713</v>
      </c>
      <c r="R12" s="91">
        <f t="shared" si="70"/>
        <v>1.012295081967213</v>
      </c>
      <c r="S12" s="92">
        <f t="shared" si="2"/>
        <v>0.16464237516869099</v>
      </c>
      <c r="T12" s="92">
        <f t="shared" si="71"/>
        <v>1.0946162695515584</v>
      </c>
      <c r="U12" s="92" t="e">
        <f t="shared" si="3"/>
        <v>#DIV/0!</v>
      </c>
      <c r="V12" s="118">
        <f t="shared" si="72"/>
        <v>0.72092785571989615</v>
      </c>
      <c r="W12" s="103">
        <f t="shared" si="73"/>
        <v>0.50723832874211483</v>
      </c>
      <c r="X12" s="117">
        <f t="shared" si="4"/>
        <v>1.0122950819672132</v>
      </c>
      <c r="Y12" s="103">
        <f t="shared" si="5"/>
        <v>0.16464237516869099</v>
      </c>
      <c r="Z12" s="103">
        <f t="shared" si="6"/>
        <v>0.71222418226090733</v>
      </c>
      <c r="AA12" s="118">
        <f t="shared" si="7"/>
        <v>0.88019391782436607</v>
      </c>
      <c r="AB12" s="117">
        <f t="shared" si="8"/>
        <v>0</v>
      </c>
      <c r="AC12" s="103">
        <f t="shared" si="9"/>
        <v>0</v>
      </c>
      <c r="AD12" s="103" t="e">
        <f t="shared" si="10"/>
        <v>#DIV/0!</v>
      </c>
      <c r="AE12" s="118">
        <f t="shared" si="11"/>
        <v>0</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163">
        <f t="shared" si="28"/>
        <v>4.742003893107459E-2</v>
      </c>
      <c r="AW12" s="143">
        <f t="shared" si="74"/>
        <v>0</v>
      </c>
      <c r="AX12" s="154">
        <f t="shared" si="29"/>
        <v>0</v>
      </c>
      <c r="AY12" s="155">
        <v>8</v>
      </c>
      <c r="AZ12" s="156">
        <f t="shared" si="30"/>
        <v>0</v>
      </c>
      <c r="BA12" s="157">
        <f t="shared" si="31"/>
        <v>66.428927752574864</v>
      </c>
      <c r="BB12" s="158">
        <f t="shared" si="32"/>
        <v>2.4512274340700125E-2</v>
      </c>
      <c r="BC12" s="157">
        <f t="shared" si="75"/>
        <v>73.188830980018295</v>
      </c>
      <c r="BD12" s="159">
        <f t="shared" si="33"/>
        <v>2.700667863162675E-2</v>
      </c>
      <c r="BE12" s="24" t="e">
        <f t="shared" si="34"/>
        <v>#DIV/0!</v>
      </c>
      <c r="BF12" s="27" t="e">
        <f t="shared" si="35"/>
        <v>#DIV/0!</v>
      </c>
      <c r="BG12" s="24" t="e">
        <f t="shared" si="36"/>
        <v>#DIV/0!</v>
      </c>
      <c r="BH12" s="61" t="e">
        <f t="shared" si="37"/>
        <v>#DIV/0!</v>
      </c>
      <c r="BI12" s="24">
        <f t="shared" si="38"/>
        <v>0</v>
      </c>
      <c r="BJ12" s="27" t="e">
        <f t="shared" si="39"/>
        <v>#DIV/0!</v>
      </c>
      <c r="BK12" s="24">
        <f t="shared" si="40"/>
        <v>0</v>
      </c>
      <c r="BL12" s="27">
        <f t="shared" si="41"/>
        <v>0</v>
      </c>
      <c r="BM12" s="24">
        <f t="shared" si="42"/>
        <v>0</v>
      </c>
      <c r="BN12" s="27">
        <f t="shared" si="43"/>
        <v>0</v>
      </c>
      <c r="BO12" s="24">
        <f t="shared" si="44"/>
        <v>0</v>
      </c>
      <c r="BP12" s="27">
        <f t="shared" si="45"/>
        <v>0</v>
      </c>
      <c r="BQ12" s="147">
        <f t="shared" si="46"/>
        <v>0</v>
      </c>
      <c r="BR12" s="27">
        <f t="shared" si="47"/>
        <v>0</v>
      </c>
      <c r="BS12" s="91" t="e">
        <f t="shared" si="76"/>
        <v>#DIV/0!</v>
      </c>
      <c r="BT12" s="101" t="e">
        <f t="shared" si="77"/>
        <v>#DIV/0!</v>
      </c>
      <c r="BU12" s="206" t="e">
        <f t="shared" si="78"/>
        <v>#DIV/0!</v>
      </c>
      <c r="BV12" s="97" t="e">
        <f t="shared" si="79"/>
        <v>#DIV/0!</v>
      </c>
      <c r="BW12" s="123" t="e">
        <f t="shared" si="80"/>
        <v>#DIV/0!</v>
      </c>
      <c r="BX12" s="91">
        <f t="shared" si="81"/>
        <v>1.837123757054555E-2</v>
      </c>
      <c r="BY12" s="92">
        <f t="shared" si="48"/>
        <v>5.0000000000000001E-3</v>
      </c>
      <c r="BZ12" s="233">
        <f t="shared" si="49"/>
        <v>0</v>
      </c>
      <c r="CA12" s="92">
        <f t="shared" si="50"/>
        <v>0</v>
      </c>
      <c r="CB12" s="92">
        <f t="shared" si="51"/>
        <v>0</v>
      </c>
      <c r="CC12" s="92">
        <f t="shared" si="52"/>
        <v>0</v>
      </c>
      <c r="CD12" s="92">
        <f t="shared" si="53"/>
        <v>0</v>
      </c>
      <c r="CE12" s="127">
        <f t="shared" si="82"/>
        <v>2.3371237570545551E-2</v>
      </c>
      <c r="CF12" s="91">
        <f t="shared" si="83"/>
        <v>7.6109412792260134E-2</v>
      </c>
      <c r="CG12" s="92">
        <f t="shared" si="54"/>
        <v>0.1350199180327869</v>
      </c>
      <c r="CH12" s="92">
        <f t="shared" si="55"/>
        <v>7.5922131147540973E-3</v>
      </c>
      <c r="CI12" s="92">
        <f t="shared" si="56"/>
        <v>8.7840000000000001E-2</v>
      </c>
      <c r="CJ12" s="93">
        <f t="shared" si="57"/>
        <v>0.09</v>
      </c>
      <c r="CK12" s="127">
        <f t="shared" si="84"/>
        <v>0.39656154393980114</v>
      </c>
      <c r="CL12" s="91">
        <f t="shared" si="58"/>
        <v>0.15</v>
      </c>
      <c r="CM12" s="92">
        <f t="shared" si="59"/>
        <v>0</v>
      </c>
      <c r="CN12" s="92">
        <f t="shared" si="60"/>
        <v>0</v>
      </c>
      <c r="CO12" s="92">
        <f t="shared" si="61"/>
        <v>0</v>
      </c>
      <c r="CP12" s="92">
        <f t="shared" si="62"/>
        <v>0</v>
      </c>
      <c r="CQ12" s="92">
        <f t="shared" si="63"/>
        <v>0</v>
      </c>
      <c r="CR12" s="127">
        <f t="shared" si="85"/>
        <v>0.15</v>
      </c>
      <c r="CS12" s="92">
        <f t="shared" si="86"/>
        <v>0.56993278151034676</v>
      </c>
      <c r="CT12" s="92">
        <f t="shared" si="64"/>
        <v>8.0699327815103459</v>
      </c>
      <c r="CU12" s="93">
        <f t="shared" si="65"/>
        <v>0.92937577090900148</v>
      </c>
      <c r="CV12">
        <f t="shared" si="87"/>
        <v>14.64</v>
      </c>
    </row>
    <row r="13" spans="1:100" ht="15.75" thickBot="1" x14ac:dyDescent="0.3">
      <c r="A13" s="12" t="s">
        <v>299</v>
      </c>
      <c r="B13" s="12">
        <f>IF(n1_FlyBB_Calc&lt;&gt;0,n1_FlyBB/Np,0)</f>
        <v>1</v>
      </c>
      <c r="C13" s="12"/>
      <c r="F13" t="s">
        <v>53</v>
      </c>
      <c r="G13">
        <f>IF(VoutPri_FBB&lt;0,ABS(VoutPri_FBB)/(ABS(VoutPri_FBB)+VinMin),0)</f>
        <v>0.7142857142857143</v>
      </c>
      <c r="H13">
        <f>IF(VoutPri_FBB&lt;0,(IoutPri_FB/(1-G13))+((Ns1_FlyBB/Np)*Iout1)+((Ns2_FlyBB/Np)*Iout2)+((Ns3_FlyBB/Np)*Iout3)+((Ns4_FlyBB/Np)*Iout4)+((Ns5_FlyBB/Np)*Iout5)+((Ns6_FlyBB/Np)*Iout6),0)</f>
        <v>0.5</v>
      </c>
      <c r="I13" s="2">
        <f>IF(VoutPri_FBB&lt;0,(G13*VinMin)/(RR*H13*Fsw),0)</f>
        <v>7.142857142857142E-5</v>
      </c>
      <c r="K13">
        <v>9</v>
      </c>
      <c r="L13" s="91">
        <f t="shared" si="0"/>
        <v>15.72</v>
      </c>
      <c r="M13" s="93">
        <f t="shared" si="1"/>
        <v>0.47709923664122134</v>
      </c>
      <c r="N13" s="122">
        <f t="shared" si="66"/>
        <v>7.2737799750434028E-5</v>
      </c>
      <c r="O13" s="97">
        <f t="shared" si="67"/>
        <v>6.546401977539063E-5</v>
      </c>
      <c r="P13" s="123">
        <f t="shared" si="68"/>
        <v>5.9512745250355102E-5</v>
      </c>
      <c r="Q13" s="127">
        <f t="shared" si="69"/>
        <v>0.48828125</v>
      </c>
      <c r="R13" s="91">
        <f t="shared" si="70"/>
        <v>0.97709923664122134</v>
      </c>
      <c r="S13" s="92">
        <f t="shared" si="2"/>
        <v>0.17057291666666669</v>
      </c>
      <c r="T13" s="92">
        <f t="shared" si="71"/>
        <v>1.0623856949745547</v>
      </c>
      <c r="U13" s="92" t="e">
        <f t="shared" si="3"/>
        <v>#DIV/0!</v>
      </c>
      <c r="V13" s="118">
        <f t="shared" si="72"/>
        <v>0.68363527072827845</v>
      </c>
      <c r="W13" s="103">
        <f t="shared" si="73"/>
        <v>0.48962587940190666</v>
      </c>
      <c r="X13" s="117">
        <f t="shared" si="4"/>
        <v>0.97709923664122134</v>
      </c>
      <c r="Y13" s="103">
        <f t="shared" si="5"/>
        <v>0.17057291666666669</v>
      </c>
      <c r="Z13" s="103">
        <f t="shared" si="6"/>
        <v>0.6998502183940114</v>
      </c>
      <c r="AA13" s="118">
        <f t="shared" si="7"/>
        <v>0.83947776518789197</v>
      </c>
      <c r="AB13" s="117">
        <f t="shared" si="8"/>
        <v>0</v>
      </c>
      <c r="AC13" s="103">
        <f t="shared" si="9"/>
        <v>0</v>
      </c>
      <c r="AD13" s="103" t="e">
        <f t="shared" si="10"/>
        <v>#DIV/0!</v>
      </c>
      <c r="AE13" s="118">
        <f t="shared" si="11"/>
        <v>0</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163">
        <f t="shared" si="28"/>
        <v>4.9128144201228872E-2</v>
      </c>
      <c r="AW13" s="143">
        <f t="shared" si="74"/>
        <v>0</v>
      </c>
      <c r="AX13" s="154">
        <f t="shared" si="29"/>
        <v>0</v>
      </c>
      <c r="AY13" s="155">
        <v>9</v>
      </c>
      <c r="AZ13" s="156">
        <f t="shared" si="30"/>
        <v>0</v>
      </c>
      <c r="BA13" s="157">
        <f t="shared" si="31"/>
        <v>72.985624301161309</v>
      </c>
      <c r="BB13" s="158">
        <f t="shared" si="32"/>
        <v>2.6931695367128524E-2</v>
      </c>
      <c r="BC13" s="157">
        <f t="shared" si="75"/>
        <v>79.845639681459787</v>
      </c>
      <c r="BD13" s="159">
        <f t="shared" si="33"/>
        <v>2.946304104245866E-2</v>
      </c>
      <c r="BE13" s="24" t="e">
        <f t="shared" si="34"/>
        <v>#DIV/0!</v>
      </c>
      <c r="BF13" s="27" t="e">
        <f t="shared" si="35"/>
        <v>#DIV/0!</v>
      </c>
      <c r="BG13" s="24" t="e">
        <f t="shared" si="36"/>
        <v>#DIV/0!</v>
      </c>
      <c r="BH13" s="61" t="e">
        <f t="shared" si="37"/>
        <v>#DIV/0!</v>
      </c>
      <c r="BI13" s="24">
        <f t="shared" si="38"/>
        <v>0</v>
      </c>
      <c r="BJ13" s="27" t="e">
        <f t="shared" si="39"/>
        <v>#DIV/0!</v>
      </c>
      <c r="BK13" s="24">
        <f t="shared" si="40"/>
        <v>0</v>
      </c>
      <c r="BL13" s="27">
        <f t="shared" si="41"/>
        <v>0</v>
      </c>
      <c r="BM13" s="24">
        <f t="shared" si="42"/>
        <v>0</v>
      </c>
      <c r="BN13" s="27">
        <f t="shared" si="43"/>
        <v>0</v>
      </c>
      <c r="BO13" s="24">
        <f t="shared" si="44"/>
        <v>0</v>
      </c>
      <c r="BP13" s="27">
        <f t="shared" si="45"/>
        <v>0</v>
      </c>
      <c r="BQ13" s="147">
        <f t="shared" si="46"/>
        <v>0</v>
      </c>
      <c r="BR13" s="27">
        <f t="shared" si="47"/>
        <v>0</v>
      </c>
      <c r="BS13" s="91" t="e">
        <f t="shared" si="76"/>
        <v>#DIV/0!</v>
      </c>
      <c r="BT13" s="101" t="e">
        <f t="shared" si="77"/>
        <v>#DIV/0!</v>
      </c>
      <c r="BU13" s="206" t="e">
        <f t="shared" si="78"/>
        <v>#DIV/0!</v>
      </c>
      <c r="BV13" s="97" t="e">
        <f t="shared" si="79"/>
        <v>#DIV/0!</v>
      </c>
      <c r="BW13" s="123" t="e">
        <f t="shared" si="80"/>
        <v>#DIV/0!</v>
      </c>
      <c r="BX13" s="91">
        <f t="shared" si="81"/>
        <v>1.593365771225453E-2</v>
      </c>
      <c r="BY13" s="92">
        <f t="shared" si="48"/>
        <v>5.0000000000000001E-3</v>
      </c>
      <c r="BZ13" s="233">
        <f t="shared" si="49"/>
        <v>0</v>
      </c>
      <c r="CA13" s="92">
        <f t="shared" si="50"/>
        <v>0</v>
      </c>
      <c r="CB13" s="92">
        <f t="shared" si="51"/>
        <v>0</v>
      </c>
      <c r="CC13" s="92">
        <f t="shared" si="52"/>
        <v>0</v>
      </c>
      <c r="CD13" s="92">
        <f t="shared" si="53"/>
        <v>0</v>
      </c>
      <c r="CE13" s="127">
        <f t="shared" si="82"/>
        <v>2.0933657712254531E-2</v>
      </c>
      <c r="CF13" s="91">
        <f t="shared" si="83"/>
        <v>6.6010867665054471E-2</v>
      </c>
      <c r="CG13" s="92">
        <f t="shared" si="54"/>
        <v>0.13507419847328248</v>
      </c>
      <c r="CH13" s="92">
        <f t="shared" si="55"/>
        <v>7.3282442748091609E-3</v>
      </c>
      <c r="CI13" s="92">
        <f t="shared" si="56"/>
        <v>9.4320000000000001E-2</v>
      </c>
      <c r="CJ13" s="93">
        <f t="shared" si="57"/>
        <v>0.09</v>
      </c>
      <c r="CK13" s="127">
        <f t="shared" si="84"/>
        <v>0.39273331041314608</v>
      </c>
      <c r="CL13" s="91">
        <f t="shared" si="58"/>
        <v>0.15</v>
      </c>
      <c r="CM13" s="92">
        <f t="shared" si="59"/>
        <v>0</v>
      </c>
      <c r="CN13" s="92">
        <f t="shared" si="60"/>
        <v>0</v>
      </c>
      <c r="CO13" s="92">
        <f t="shared" si="61"/>
        <v>0</v>
      </c>
      <c r="CP13" s="92">
        <f t="shared" si="62"/>
        <v>0</v>
      </c>
      <c r="CQ13" s="92">
        <f t="shared" si="63"/>
        <v>0</v>
      </c>
      <c r="CR13" s="127">
        <f t="shared" si="85"/>
        <v>0.15</v>
      </c>
      <c r="CS13" s="92">
        <f t="shared" si="86"/>
        <v>0.56366696812540062</v>
      </c>
      <c r="CT13" s="92">
        <f t="shared" si="64"/>
        <v>8.0636669681253998</v>
      </c>
      <c r="CU13" s="93">
        <f t="shared" si="65"/>
        <v>0.93009793554799569</v>
      </c>
      <c r="CV13">
        <f t="shared" si="87"/>
        <v>15.72</v>
      </c>
    </row>
    <row r="14" spans="1:100" ht="15.75" thickBot="1" x14ac:dyDescent="0.3">
      <c r="A14" s="12" t="s">
        <v>300</v>
      </c>
      <c r="B14" s="12">
        <f>IF(AND(VoutPri_FBB&lt;0,Vout2&lt;&gt;0),((ABS(Vout2)+Vdiode2)/ABS(VoutPri_FBB))*Np,0)</f>
        <v>0</v>
      </c>
      <c r="C14" s="12"/>
      <c r="F14" t="s">
        <v>54</v>
      </c>
      <c r="G14">
        <f>IF(VoutPri_FBB&lt;0,ABS(VoutPri_FBB)/(ABS(VoutPri_FBB)+VinNom),0)</f>
        <v>0.38461538461538464</v>
      </c>
      <c r="H14">
        <f>IF(VoutPri_FBB&lt;0,(IoutPri_FB/(1-G14))+((Ns1_FlyBB/Np)*Iout1)+((Ns2_FlyBB/Np)*Iout2)+((Ns3_FlyBB/Np)*Iout3)+((Ns4_FlyBB/Np)*Iout4)+((Ns5_FlyBB/Np)*Iout5)+((Ns6_FlyBB/Np)*Iout6),0)</f>
        <v>0.5</v>
      </c>
      <c r="I14" s="2">
        <f>IF(VoutPri_FBB&lt;0,(G14*VinNom)/(RR*H14*Fsw),0)</f>
        <v>1.5384615384615385E-4</v>
      </c>
      <c r="K14">
        <v>10</v>
      </c>
      <c r="L14" s="91">
        <f t="shared" si="0"/>
        <v>16.8</v>
      </c>
      <c r="M14" s="93">
        <f t="shared" si="1"/>
        <v>0.4464285714285714</v>
      </c>
      <c r="N14" s="122">
        <f t="shared" si="66"/>
        <v>7.752857877457378E-5</v>
      </c>
      <c r="O14" s="97">
        <f t="shared" si="67"/>
        <v>6.9775720897116418E-5</v>
      </c>
      <c r="P14" s="123">
        <f t="shared" si="68"/>
        <v>6.3432473542833091E-5</v>
      </c>
      <c r="Q14" s="127">
        <f t="shared" si="69"/>
        <v>0.47169811320754718</v>
      </c>
      <c r="R14" s="91">
        <f t="shared" si="70"/>
        <v>0.9464285714285714</v>
      </c>
      <c r="S14" s="92">
        <f t="shared" si="2"/>
        <v>0.17610062893081763</v>
      </c>
      <c r="T14" s="92">
        <f t="shared" si="71"/>
        <v>1.0344788858939802</v>
      </c>
      <c r="U14" s="92" t="e">
        <f t="shared" si="3"/>
        <v>#DIV/0!</v>
      </c>
      <c r="V14" s="118">
        <f t="shared" si="72"/>
        <v>0.65094681650113451</v>
      </c>
      <c r="W14" s="103">
        <f t="shared" si="73"/>
        <v>0.47374390605601102</v>
      </c>
      <c r="X14" s="117">
        <f t="shared" si="4"/>
        <v>0.9464285714285714</v>
      </c>
      <c r="Y14" s="103">
        <f t="shared" si="5"/>
        <v>0.17610062893081763</v>
      </c>
      <c r="Z14" s="103">
        <f t="shared" si="6"/>
        <v>0.68889735727647927</v>
      </c>
      <c r="AA14" s="118">
        <f t="shared" si="7"/>
        <v>0.80357142857142849</v>
      </c>
      <c r="AB14" s="117">
        <f t="shared" si="8"/>
        <v>0</v>
      </c>
      <c r="AC14" s="103">
        <f t="shared" si="9"/>
        <v>0</v>
      </c>
      <c r="AD14" s="103" t="e">
        <f t="shared" si="10"/>
        <v>#DIV/0!</v>
      </c>
      <c r="AE14" s="118">
        <f t="shared" si="11"/>
        <v>0</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163">
        <f t="shared" si="28"/>
        <v>5.0720227226617981E-2</v>
      </c>
      <c r="AW14" s="143">
        <f t="shared" si="74"/>
        <v>0</v>
      </c>
      <c r="AX14" s="154">
        <f t="shared" si="29"/>
        <v>0</v>
      </c>
      <c r="AY14" s="155">
        <v>10</v>
      </c>
      <c r="AZ14" s="156">
        <f t="shared" si="30"/>
        <v>0</v>
      </c>
      <c r="BA14" s="157">
        <f t="shared" si="31"/>
        <v>79.447555441316638</v>
      </c>
      <c r="BB14" s="158">
        <f t="shared" si="32"/>
        <v>2.9316147957845838E-2</v>
      </c>
      <c r="BC14" s="157">
        <f t="shared" si="75"/>
        <v>86.362309918428409</v>
      </c>
      <c r="BD14" s="159">
        <f t="shared" si="33"/>
        <v>3.1867692359900085E-2</v>
      </c>
      <c r="BE14" s="24" t="e">
        <f t="shared" si="34"/>
        <v>#DIV/0!</v>
      </c>
      <c r="BF14" s="27" t="e">
        <f t="shared" si="35"/>
        <v>#DIV/0!</v>
      </c>
      <c r="BG14" s="24" t="e">
        <f t="shared" si="36"/>
        <v>#DIV/0!</v>
      </c>
      <c r="BH14" s="61" t="e">
        <f t="shared" si="37"/>
        <v>#DIV/0!</v>
      </c>
      <c r="BI14" s="24">
        <f t="shared" si="38"/>
        <v>0</v>
      </c>
      <c r="BJ14" s="27" t="e">
        <f t="shared" si="39"/>
        <v>#DIV/0!</v>
      </c>
      <c r="BK14" s="24">
        <f t="shared" si="40"/>
        <v>0</v>
      </c>
      <c r="BL14" s="27">
        <f t="shared" si="41"/>
        <v>0</v>
      </c>
      <c r="BM14" s="24">
        <f t="shared" si="42"/>
        <v>0</v>
      </c>
      <c r="BN14" s="27">
        <f t="shared" si="43"/>
        <v>0</v>
      </c>
      <c r="BO14" s="24">
        <f t="shared" si="44"/>
        <v>0</v>
      </c>
      <c r="BP14" s="27">
        <f t="shared" si="45"/>
        <v>0</v>
      </c>
      <c r="BQ14" s="147">
        <f t="shared" si="46"/>
        <v>0</v>
      </c>
      <c r="BR14" s="27">
        <f t="shared" si="47"/>
        <v>0</v>
      </c>
      <c r="BS14" s="91" t="e">
        <f t="shared" si="76"/>
        <v>#DIV/0!</v>
      </c>
      <c r="BT14" s="101" t="e">
        <f t="shared" si="77"/>
        <v>#DIV/0!</v>
      </c>
      <c r="BU14" s="206" t="e">
        <f t="shared" si="78"/>
        <v>#DIV/0!</v>
      </c>
      <c r="BV14" s="97" t="e">
        <f t="shared" si="79"/>
        <v>#DIV/0!</v>
      </c>
      <c r="BW14" s="123" t="e">
        <f t="shared" si="80"/>
        <v>#DIV/0!</v>
      </c>
      <c r="BX14" s="91">
        <f t="shared" si="81"/>
        <v>1.3950892857142858E-2</v>
      </c>
      <c r="BY14" s="92">
        <f t="shared" si="48"/>
        <v>5.0000000000000001E-3</v>
      </c>
      <c r="BZ14" s="233">
        <f t="shared" si="49"/>
        <v>0</v>
      </c>
      <c r="CA14" s="92">
        <f t="shared" si="50"/>
        <v>0</v>
      </c>
      <c r="CB14" s="92">
        <f t="shared" si="51"/>
        <v>0</v>
      </c>
      <c r="CC14" s="92">
        <f t="shared" si="52"/>
        <v>0</v>
      </c>
      <c r="CD14" s="92">
        <f t="shared" si="53"/>
        <v>0</v>
      </c>
      <c r="CE14" s="127">
        <f t="shared" si="82"/>
        <v>1.8950892857142857E-2</v>
      </c>
      <c r="CF14" s="91">
        <f t="shared" si="83"/>
        <v>5.7796556122448974E-2</v>
      </c>
      <c r="CG14" s="92">
        <f t="shared" si="54"/>
        <v>0.13543392857142858</v>
      </c>
      <c r="CH14" s="92">
        <f t="shared" si="55"/>
        <v>7.0982142857142858E-3</v>
      </c>
      <c r="CI14" s="92">
        <f t="shared" si="56"/>
        <v>0.10080000000000001</v>
      </c>
      <c r="CJ14" s="93">
        <f t="shared" si="57"/>
        <v>0.09</v>
      </c>
      <c r="CK14" s="127">
        <f t="shared" si="84"/>
        <v>0.39112869897959179</v>
      </c>
      <c r="CL14" s="91">
        <f t="shared" si="58"/>
        <v>0.15</v>
      </c>
      <c r="CM14" s="92">
        <f t="shared" si="59"/>
        <v>0</v>
      </c>
      <c r="CN14" s="92">
        <f t="shared" si="60"/>
        <v>0</v>
      </c>
      <c r="CO14" s="92">
        <f t="shared" si="61"/>
        <v>0</v>
      </c>
      <c r="CP14" s="92">
        <f t="shared" si="62"/>
        <v>0</v>
      </c>
      <c r="CQ14" s="92">
        <f t="shared" si="63"/>
        <v>0</v>
      </c>
      <c r="CR14" s="127">
        <f t="shared" si="85"/>
        <v>0.15</v>
      </c>
      <c r="CS14" s="92">
        <f t="shared" si="86"/>
        <v>0.56007959183673472</v>
      </c>
      <c r="CT14" s="92">
        <f t="shared" si="64"/>
        <v>8.0600795918367343</v>
      </c>
      <c r="CU14" s="93">
        <f t="shared" si="65"/>
        <v>0.93051190308294418</v>
      </c>
      <c r="CV14">
        <f t="shared" si="87"/>
        <v>16.8</v>
      </c>
    </row>
    <row r="15" spans="1:100" ht="15.75" thickBot="1" x14ac:dyDescent="0.3">
      <c r="A15" s="12" t="s">
        <v>301</v>
      </c>
      <c r="B15" s="12">
        <f>IF(n2_FlyBB_Calc&lt;&gt;0,n2_FlyBB/Np,0)</f>
        <v>0</v>
      </c>
      <c r="C15" s="12"/>
      <c r="F15" t="s">
        <v>55</v>
      </c>
      <c r="G15">
        <f>IF(VoutPri_FBB&lt;0,ABS(VoutPri_FBB)/(ABS(VoutPri_FBB)+VinMax),0)</f>
        <v>0.2</v>
      </c>
      <c r="H15">
        <f>IF(VoutPri_FBB&lt;0,(IoutPri_FB/(1-G15))+((Ns1_FlyBB/Np)*Iout1)+((Ns2_FlyBB/Np)*Iout2)+((Ns3_FlyBB/Np)*Iout3)+((Ns4_FlyBB/Np)*Iout4)+((Ns5_FlyBB/Np)*Iout5)+((Ns6_FlyBB/Np)*Iout6),0)</f>
        <v>0.5</v>
      </c>
      <c r="I15" s="2">
        <f>IF(VoutPri_FBB&lt;0,(G15*VinMax)/(RR*H15*Fsw),0)</f>
        <v>2.0000000000000001E-4</v>
      </c>
      <c r="K15">
        <v>11</v>
      </c>
      <c r="L15" s="91">
        <f t="shared" si="0"/>
        <v>17.880000000000003</v>
      </c>
      <c r="M15" s="93">
        <f t="shared" si="1"/>
        <v>0.4194630872483221</v>
      </c>
      <c r="N15" s="122">
        <f t="shared" si="66"/>
        <v>8.2142688002083812E-5</v>
      </c>
      <c r="O15" s="97">
        <f t="shared" si="67"/>
        <v>7.392841920187543E-5</v>
      </c>
      <c r="P15" s="123">
        <f t="shared" si="68"/>
        <v>6.7207653819886763E-5</v>
      </c>
      <c r="Q15" s="127">
        <f t="shared" si="69"/>
        <v>0.45620437956204374</v>
      </c>
      <c r="R15" s="91">
        <f t="shared" si="70"/>
        <v>0.91946308724832215</v>
      </c>
      <c r="S15" s="92">
        <f t="shared" si="2"/>
        <v>0.18126520681265212</v>
      </c>
      <c r="T15" s="92">
        <f t="shared" si="71"/>
        <v>1.0100956906546483</v>
      </c>
      <c r="U15" s="92" t="e">
        <f t="shared" si="3"/>
        <v>#DIV/0!</v>
      </c>
      <c r="V15" s="118">
        <f t="shared" si="72"/>
        <v>0.62203693914046576</v>
      </c>
      <c r="W15" s="103">
        <f t="shared" si="73"/>
        <v>0.45932632418722319</v>
      </c>
      <c r="X15" s="117">
        <f t="shared" si="4"/>
        <v>0.91946308724832204</v>
      </c>
      <c r="Y15" s="103">
        <f t="shared" si="5"/>
        <v>0.18126520681265212</v>
      </c>
      <c r="Z15" s="103">
        <f t="shared" si="6"/>
        <v>0.67913217031520856</v>
      </c>
      <c r="AA15" s="118">
        <f t="shared" si="7"/>
        <v>0.77162968372932328</v>
      </c>
      <c r="AB15" s="117">
        <f t="shared" si="8"/>
        <v>0</v>
      </c>
      <c r="AC15" s="103">
        <f t="shared" si="9"/>
        <v>0</v>
      </c>
      <c r="AD15" s="103" t="e">
        <f t="shared" si="10"/>
        <v>#DIV/0!</v>
      </c>
      <c r="AE15" s="118">
        <f t="shared" si="11"/>
        <v>0</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163">
        <f t="shared" si="28"/>
        <v>5.2207720856178592E-2</v>
      </c>
      <c r="AW15" s="143">
        <f t="shared" si="74"/>
        <v>0</v>
      </c>
      <c r="AX15" s="154">
        <f t="shared" si="29"/>
        <v>0</v>
      </c>
      <c r="AY15" s="155">
        <v>11</v>
      </c>
      <c r="AZ15" s="156">
        <f t="shared" si="30"/>
        <v>0</v>
      </c>
      <c r="BA15" s="157">
        <f t="shared" si="31"/>
        <v>85.797170474506743</v>
      </c>
      <c r="BB15" s="158">
        <f t="shared" si="32"/>
        <v>3.1659155905092988E-2</v>
      </c>
      <c r="BC15" s="157">
        <f t="shared" si="75"/>
        <v>92.72694842138678</v>
      </c>
      <c r="BD15" s="159">
        <f t="shared" si="33"/>
        <v>3.4216243967491719E-2</v>
      </c>
      <c r="BE15" s="24" t="e">
        <f t="shared" si="34"/>
        <v>#DIV/0!</v>
      </c>
      <c r="BF15" s="27" t="e">
        <f t="shared" si="35"/>
        <v>#DIV/0!</v>
      </c>
      <c r="BG15" s="24" t="e">
        <f t="shared" si="36"/>
        <v>#DIV/0!</v>
      </c>
      <c r="BH15" s="61" t="e">
        <f t="shared" si="37"/>
        <v>#DIV/0!</v>
      </c>
      <c r="BI15" s="24">
        <f t="shared" si="38"/>
        <v>0</v>
      </c>
      <c r="BJ15" s="27" t="e">
        <f t="shared" si="39"/>
        <v>#DIV/0!</v>
      </c>
      <c r="BK15" s="24">
        <f t="shared" si="40"/>
        <v>0</v>
      </c>
      <c r="BL15" s="27">
        <f t="shared" si="41"/>
        <v>0</v>
      </c>
      <c r="BM15" s="24">
        <f t="shared" si="42"/>
        <v>0</v>
      </c>
      <c r="BN15" s="27">
        <f t="shared" si="43"/>
        <v>0</v>
      </c>
      <c r="BO15" s="24">
        <f t="shared" si="44"/>
        <v>0</v>
      </c>
      <c r="BP15" s="27">
        <f t="shared" si="45"/>
        <v>0</v>
      </c>
      <c r="BQ15" s="147">
        <f t="shared" si="46"/>
        <v>0</v>
      </c>
      <c r="BR15" s="27">
        <f t="shared" si="47"/>
        <v>0</v>
      </c>
      <c r="BS15" s="91" t="e">
        <f t="shared" si="76"/>
        <v>#DIV/0!</v>
      </c>
      <c r="BT15" s="101" t="e">
        <f t="shared" si="77"/>
        <v>#DIV/0!</v>
      </c>
      <c r="BU15" s="206" t="e">
        <f t="shared" si="78"/>
        <v>#DIV/0!</v>
      </c>
      <c r="BV15" s="97" t="e">
        <f t="shared" si="79"/>
        <v>#DIV/0!</v>
      </c>
      <c r="BW15" s="123" t="e">
        <f t="shared" si="80"/>
        <v>#DIV/0!</v>
      </c>
      <c r="BX15" s="91">
        <f t="shared" si="81"/>
        <v>1.2316449709472545E-2</v>
      </c>
      <c r="BY15" s="92">
        <f t="shared" si="48"/>
        <v>5.0000000000000001E-3</v>
      </c>
      <c r="BZ15" s="233">
        <f t="shared" si="49"/>
        <v>0</v>
      </c>
      <c r="CA15" s="92">
        <f t="shared" si="50"/>
        <v>0</v>
      </c>
      <c r="CB15" s="92">
        <f t="shared" si="51"/>
        <v>0</v>
      </c>
      <c r="CC15" s="92">
        <f t="shared" si="52"/>
        <v>0</v>
      </c>
      <c r="CD15" s="92">
        <f t="shared" si="53"/>
        <v>0</v>
      </c>
      <c r="CE15" s="127">
        <f t="shared" si="82"/>
        <v>1.7316449709472544E-2</v>
      </c>
      <c r="CF15" s="91">
        <f t="shared" si="83"/>
        <v>5.1025291653529106E-2</v>
      </c>
      <c r="CG15" s="92">
        <f t="shared" si="54"/>
        <v>0.13604375838926178</v>
      </c>
      <c r="CH15" s="92">
        <f t="shared" si="55"/>
        <v>6.8959731543624166E-3</v>
      </c>
      <c r="CI15" s="92">
        <f t="shared" si="56"/>
        <v>0.10728000000000003</v>
      </c>
      <c r="CJ15" s="93">
        <f t="shared" si="57"/>
        <v>0.09</v>
      </c>
      <c r="CK15" s="127">
        <f t="shared" si="84"/>
        <v>0.39124502319715337</v>
      </c>
      <c r="CL15" s="91">
        <f t="shared" si="58"/>
        <v>0.15</v>
      </c>
      <c r="CM15" s="92">
        <f t="shared" si="59"/>
        <v>0</v>
      </c>
      <c r="CN15" s="92">
        <f t="shared" si="60"/>
        <v>0</v>
      </c>
      <c r="CO15" s="92">
        <f t="shared" si="61"/>
        <v>0</v>
      </c>
      <c r="CP15" s="92">
        <f t="shared" si="62"/>
        <v>0</v>
      </c>
      <c r="CQ15" s="92">
        <f t="shared" si="63"/>
        <v>0</v>
      </c>
      <c r="CR15" s="127">
        <f t="shared" si="85"/>
        <v>0.15</v>
      </c>
      <c r="CS15" s="92">
        <f t="shared" si="86"/>
        <v>0.55856147290662594</v>
      </c>
      <c r="CT15" s="92">
        <f t="shared" si="64"/>
        <v>8.0585614729066251</v>
      </c>
      <c r="CU15" s="93">
        <f t="shared" si="65"/>
        <v>0.93068719835611569</v>
      </c>
      <c r="CV15">
        <f t="shared" si="87"/>
        <v>17.880000000000003</v>
      </c>
    </row>
    <row r="16" spans="1:100" ht="15.75" thickBot="1" x14ac:dyDescent="0.3">
      <c r="A16" s="12" t="s">
        <v>302</v>
      </c>
      <c r="B16" s="12">
        <f>IF(AND(VoutPri_FBB&lt;0,Vout3&lt;&gt;0),((ABS(Vout3)+Vdiode3)/ABS(VoutPri_FBB))*Np,0)</f>
        <v>0</v>
      </c>
      <c r="C16" s="12"/>
      <c r="K16">
        <v>12</v>
      </c>
      <c r="L16" s="91">
        <f t="shared" si="0"/>
        <v>18.96</v>
      </c>
      <c r="M16" s="93">
        <f t="shared" si="1"/>
        <v>0.39556962025316456</v>
      </c>
      <c r="N16" s="122">
        <f t="shared" si="66"/>
        <v>8.6584230599014137E-5</v>
      </c>
      <c r="O16" s="97">
        <f t="shared" si="67"/>
        <v>7.7925807539112725E-5</v>
      </c>
      <c r="P16" s="123">
        <f t="shared" si="68"/>
        <v>7.0841643217375204E-5</v>
      </c>
      <c r="Q16" s="127">
        <f t="shared" si="69"/>
        <v>0.44169611307420492</v>
      </c>
      <c r="R16" s="91">
        <f t="shared" si="70"/>
        <v>0.89556962025316456</v>
      </c>
      <c r="S16" s="92">
        <f t="shared" si="2"/>
        <v>0.1861012956419317</v>
      </c>
      <c r="T16" s="92">
        <f t="shared" si="71"/>
        <v>0.98862026807413039</v>
      </c>
      <c r="U16" s="92" t="e">
        <f t="shared" si="3"/>
        <v>#DIV/0!</v>
      </c>
      <c r="V16" s="118">
        <f t="shared" si="72"/>
        <v>0.59626750025816311</v>
      </c>
      <c r="W16" s="103">
        <f t="shared" si="73"/>
        <v>0.4461609657924881</v>
      </c>
      <c r="X16" s="117">
        <f t="shared" si="4"/>
        <v>0.89556962025316456</v>
      </c>
      <c r="Y16" s="103">
        <f t="shared" si="5"/>
        <v>0.1861012956419317</v>
      </c>
      <c r="Z16" s="103">
        <f t="shared" si="6"/>
        <v>0.67037016183318143</v>
      </c>
      <c r="AA16" s="118">
        <f t="shared" si="7"/>
        <v>0.74299727100467694</v>
      </c>
      <c r="AB16" s="117">
        <f t="shared" si="8"/>
        <v>0</v>
      </c>
      <c r="AC16" s="103">
        <f t="shared" si="9"/>
        <v>0</v>
      </c>
      <c r="AD16" s="103" t="e">
        <f t="shared" si="10"/>
        <v>#DIV/0!</v>
      </c>
      <c r="AE16" s="118">
        <f t="shared" si="11"/>
        <v>0</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163">
        <f t="shared" si="28"/>
        <v>5.3600603583505664E-2</v>
      </c>
      <c r="AW16" s="143">
        <f t="shared" si="74"/>
        <v>0</v>
      </c>
      <c r="AX16" s="154">
        <f t="shared" si="29"/>
        <v>0</v>
      </c>
      <c r="AY16" s="155">
        <v>12</v>
      </c>
      <c r="AZ16" s="156">
        <f t="shared" si="30"/>
        <v>0</v>
      </c>
      <c r="BA16" s="157">
        <f t="shared" si="31"/>
        <v>92.021629906562481</v>
      </c>
      <c r="BB16" s="158">
        <f t="shared" si="32"/>
        <v>3.3955981435521559E-2</v>
      </c>
      <c r="BC16" s="157">
        <f t="shared" si="75"/>
        <v>98.931805375705849</v>
      </c>
      <c r="BD16" s="159">
        <f t="shared" si="33"/>
        <v>3.6505836183635461E-2</v>
      </c>
      <c r="BE16" s="24" t="e">
        <f t="shared" si="34"/>
        <v>#DIV/0!</v>
      </c>
      <c r="BF16" s="27" t="e">
        <f t="shared" si="35"/>
        <v>#DIV/0!</v>
      </c>
      <c r="BG16" s="24" t="e">
        <f t="shared" si="36"/>
        <v>#DIV/0!</v>
      </c>
      <c r="BH16" s="61" t="e">
        <f t="shared" si="37"/>
        <v>#DIV/0!</v>
      </c>
      <c r="BI16" s="24">
        <f t="shared" si="38"/>
        <v>0</v>
      </c>
      <c r="BJ16" s="27" t="e">
        <f t="shared" si="39"/>
        <v>#DIV/0!</v>
      </c>
      <c r="BK16" s="24">
        <f t="shared" si="40"/>
        <v>0</v>
      </c>
      <c r="BL16" s="27">
        <f t="shared" si="41"/>
        <v>0</v>
      </c>
      <c r="BM16" s="24">
        <f t="shared" si="42"/>
        <v>0</v>
      </c>
      <c r="BN16" s="27">
        <f t="shared" si="43"/>
        <v>0</v>
      </c>
      <c r="BO16" s="24">
        <f t="shared" si="44"/>
        <v>0</v>
      </c>
      <c r="BP16" s="27">
        <f t="shared" si="45"/>
        <v>0</v>
      </c>
      <c r="BQ16" s="147">
        <f t="shared" si="46"/>
        <v>0</v>
      </c>
      <c r="BR16" s="27">
        <f t="shared" si="47"/>
        <v>0</v>
      </c>
      <c r="BS16" s="91" t="e">
        <f t="shared" si="76"/>
        <v>#DIV/0!</v>
      </c>
      <c r="BT16" s="101" t="e">
        <f t="shared" si="77"/>
        <v>#DIV/0!</v>
      </c>
      <c r="BU16" s="206" t="e">
        <f t="shared" si="78"/>
        <v>#DIV/0!</v>
      </c>
      <c r="BV16" s="97" t="e">
        <f t="shared" si="79"/>
        <v>#DIV/0!</v>
      </c>
      <c r="BW16" s="123" t="e">
        <f t="shared" si="80"/>
        <v>#DIV/0!</v>
      </c>
      <c r="BX16" s="91">
        <f t="shared" si="81"/>
        <v>1.0953272712706297E-2</v>
      </c>
      <c r="BY16" s="92">
        <f t="shared" si="48"/>
        <v>5.0000000000000001E-3</v>
      </c>
      <c r="BZ16" s="233">
        <f t="shared" si="49"/>
        <v>0</v>
      </c>
      <c r="CA16" s="92">
        <f t="shared" si="50"/>
        <v>0</v>
      </c>
      <c r="CB16" s="92">
        <f t="shared" si="51"/>
        <v>0</v>
      </c>
      <c r="CC16" s="92">
        <f t="shared" si="52"/>
        <v>0</v>
      </c>
      <c r="CD16" s="92">
        <f t="shared" si="53"/>
        <v>0</v>
      </c>
      <c r="CE16" s="127">
        <f t="shared" si="82"/>
        <v>1.5953272712706298E-2</v>
      </c>
      <c r="CF16" s="91">
        <f t="shared" si="83"/>
        <v>4.5377844095497513E-2</v>
      </c>
      <c r="CG16" s="92">
        <f t="shared" si="54"/>
        <v>0.13686094936708862</v>
      </c>
      <c r="CH16" s="92">
        <f t="shared" si="55"/>
        <v>6.7167721518987342E-3</v>
      </c>
      <c r="CI16" s="92">
        <f t="shared" si="56"/>
        <v>0.11376</v>
      </c>
      <c r="CJ16" s="93">
        <f t="shared" si="57"/>
        <v>0.09</v>
      </c>
      <c r="CK16" s="127">
        <f t="shared" si="84"/>
        <v>0.39271556561448484</v>
      </c>
      <c r="CL16" s="91">
        <f t="shared" si="58"/>
        <v>0.15</v>
      </c>
      <c r="CM16" s="92">
        <f t="shared" si="59"/>
        <v>0</v>
      </c>
      <c r="CN16" s="92">
        <f t="shared" si="60"/>
        <v>0</v>
      </c>
      <c r="CO16" s="92">
        <f t="shared" si="61"/>
        <v>0</v>
      </c>
      <c r="CP16" s="92">
        <f t="shared" si="62"/>
        <v>0</v>
      </c>
      <c r="CQ16" s="92">
        <f t="shared" si="63"/>
        <v>0</v>
      </c>
      <c r="CR16" s="127">
        <f t="shared" si="85"/>
        <v>0.15</v>
      </c>
      <c r="CS16" s="92">
        <f t="shared" si="86"/>
        <v>0.55866883832719116</v>
      </c>
      <c r="CT16" s="92">
        <f t="shared" si="64"/>
        <v>8.0586688383271916</v>
      </c>
      <c r="CU16" s="93">
        <f t="shared" si="65"/>
        <v>0.93067479883648385</v>
      </c>
      <c r="CV16">
        <f t="shared" si="87"/>
        <v>18.96</v>
      </c>
    </row>
    <row r="17" spans="1:100" ht="15.75" thickBot="1" x14ac:dyDescent="0.3">
      <c r="A17" s="12" t="s">
        <v>303</v>
      </c>
      <c r="B17" s="12">
        <f>IF(n3_FlyBB_Calc&lt;&gt;0,n3_FlyBB/Np,0)</f>
        <v>0</v>
      </c>
      <c r="C17" s="12"/>
      <c r="K17">
        <v>13</v>
      </c>
      <c r="L17" s="91">
        <f t="shared" si="0"/>
        <v>20.04</v>
      </c>
      <c r="M17" s="93">
        <f t="shared" si="1"/>
        <v>0.37425149700598803</v>
      </c>
      <c r="N17" s="122">
        <f t="shared" si="66"/>
        <v>9.0858327599507922E-5</v>
      </c>
      <c r="O17" s="97">
        <f t="shared" si="67"/>
        <v>8.1772494839557123E-5</v>
      </c>
      <c r="P17" s="123">
        <f t="shared" si="68"/>
        <v>7.4338631672324655E-5</v>
      </c>
      <c r="Q17" s="127">
        <f t="shared" si="69"/>
        <v>0.42808219178082191</v>
      </c>
      <c r="R17" s="91">
        <f t="shared" si="70"/>
        <v>0.87425149700598803</v>
      </c>
      <c r="S17" s="92">
        <f t="shared" si="2"/>
        <v>0.19063926940639273</v>
      </c>
      <c r="T17" s="92">
        <f t="shared" si="71"/>
        <v>0.96957113170918441</v>
      </c>
      <c r="U17" s="92" t="e">
        <f t="shared" si="3"/>
        <v>#DIV/0!</v>
      </c>
      <c r="V17" s="118">
        <f t="shared" si="72"/>
        <v>0.57313735344583405</v>
      </c>
      <c r="W17" s="103">
        <f t="shared" si="73"/>
        <v>0.43407631000052499</v>
      </c>
      <c r="X17" s="117">
        <f t="shared" si="4"/>
        <v>0.87425149700598814</v>
      </c>
      <c r="Y17" s="103">
        <f t="shared" si="5"/>
        <v>0.19063926940639273</v>
      </c>
      <c r="Z17" s="103">
        <f t="shared" si="6"/>
        <v>0.66246348202923599</v>
      </c>
      <c r="AA17" s="118">
        <f t="shared" si="7"/>
        <v>0.71715805790440035</v>
      </c>
      <c r="AB17" s="117">
        <f t="shared" si="8"/>
        <v>0</v>
      </c>
      <c r="AC17" s="103">
        <f t="shared" si="9"/>
        <v>0</v>
      </c>
      <c r="AD17" s="103" t="e">
        <f t="shared" si="10"/>
        <v>#DIV/0!</v>
      </c>
      <c r="AE17" s="118">
        <f t="shared" si="11"/>
        <v>0</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163">
        <f t="shared" si="28"/>
        <v>5.4907623676956417E-2</v>
      </c>
      <c r="AW17" s="143">
        <f t="shared" si="74"/>
        <v>0</v>
      </c>
      <c r="AX17" s="154">
        <f t="shared" si="29"/>
        <v>0</v>
      </c>
      <c r="AY17" s="155">
        <v>13</v>
      </c>
      <c r="AZ17" s="156">
        <f t="shared" si="30"/>
        <v>0</v>
      </c>
      <c r="BA17" s="157">
        <f t="shared" si="31"/>
        <v>98.11183916713756</v>
      </c>
      <c r="BB17" s="158">
        <f t="shared" si="32"/>
        <v>3.6203268652673759E-2</v>
      </c>
      <c r="BC17" s="157">
        <f t="shared" si="75"/>
        <v>104.97232984169986</v>
      </c>
      <c r="BD17" s="159">
        <f t="shared" si="33"/>
        <v>3.8734789711587246E-2</v>
      </c>
      <c r="BE17" s="24" t="e">
        <f t="shared" si="34"/>
        <v>#DIV/0!</v>
      </c>
      <c r="BF17" s="27" t="e">
        <f t="shared" si="35"/>
        <v>#DIV/0!</v>
      </c>
      <c r="BG17" s="24" t="e">
        <f t="shared" si="36"/>
        <v>#DIV/0!</v>
      </c>
      <c r="BH17" s="61" t="e">
        <f t="shared" si="37"/>
        <v>#DIV/0!</v>
      </c>
      <c r="BI17" s="24">
        <f t="shared" si="38"/>
        <v>0</v>
      </c>
      <c r="BJ17" s="27" t="e">
        <f t="shared" si="39"/>
        <v>#DIV/0!</v>
      </c>
      <c r="BK17" s="24">
        <f t="shared" si="40"/>
        <v>0</v>
      </c>
      <c r="BL17" s="27">
        <f t="shared" si="41"/>
        <v>0</v>
      </c>
      <c r="BM17" s="24">
        <f t="shared" si="42"/>
        <v>0</v>
      </c>
      <c r="BN17" s="27">
        <f t="shared" si="43"/>
        <v>0</v>
      </c>
      <c r="BO17" s="24">
        <f t="shared" si="44"/>
        <v>0</v>
      </c>
      <c r="BP17" s="27">
        <f t="shared" si="45"/>
        <v>0</v>
      </c>
      <c r="BQ17" s="147">
        <f t="shared" si="46"/>
        <v>0</v>
      </c>
      <c r="BR17" s="27">
        <f t="shared" si="47"/>
        <v>0</v>
      </c>
      <c r="BS17" s="91" t="e">
        <f t="shared" si="76"/>
        <v>#DIV/0!</v>
      </c>
      <c r="BT17" s="101" t="e">
        <f t="shared" si="77"/>
        <v>#DIV/0!</v>
      </c>
      <c r="BU17" s="206" t="e">
        <f t="shared" si="78"/>
        <v>#DIV/0!</v>
      </c>
      <c r="BV17" s="97" t="e">
        <f t="shared" si="79"/>
        <v>#DIV/0!</v>
      </c>
      <c r="BW17" s="123" t="e">
        <f t="shared" si="80"/>
        <v>#DIV/0!</v>
      </c>
      <c r="BX17" s="91">
        <f t="shared" si="81"/>
        <v>9.8044928107856155E-3</v>
      </c>
      <c r="BY17" s="92">
        <f t="shared" si="48"/>
        <v>5.0000000000000001E-3</v>
      </c>
      <c r="BZ17" s="233">
        <f t="shared" si="49"/>
        <v>0</v>
      </c>
      <c r="CA17" s="92">
        <f t="shared" si="50"/>
        <v>0</v>
      </c>
      <c r="CB17" s="92">
        <f t="shared" si="51"/>
        <v>0</v>
      </c>
      <c r="CC17" s="92">
        <f t="shared" si="52"/>
        <v>0</v>
      </c>
      <c r="CD17" s="92">
        <f t="shared" si="53"/>
        <v>0</v>
      </c>
      <c r="CE17" s="127">
        <f t="shared" si="82"/>
        <v>1.4804492810785615E-2</v>
      </c>
      <c r="CF17" s="91">
        <f t="shared" si="83"/>
        <v>4.0618613073254685E-2</v>
      </c>
      <c r="CG17" s="92">
        <f t="shared" si="54"/>
        <v>0.1378519760479042</v>
      </c>
      <c r="CH17" s="92">
        <f t="shared" si="55"/>
        <v>6.5568862275449105E-3</v>
      </c>
      <c r="CI17" s="92">
        <f t="shared" si="56"/>
        <v>0.12024</v>
      </c>
      <c r="CJ17" s="93">
        <f t="shared" si="57"/>
        <v>0.09</v>
      </c>
      <c r="CK17" s="127">
        <f t="shared" si="84"/>
        <v>0.39526747534870377</v>
      </c>
      <c r="CL17" s="91">
        <f t="shared" si="58"/>
        <v>0.15</v>
      </c>
      <c r="CM17" s="92">
        <f t="shared" si="59"/>
        <v>0</v>
      </c>
      <c r="CN17" s="92">
        <f t="shared" si="60"/>
        <v>0</v>
      </c>
      <c r="CO17" s="92">
        <f t="shared" si="61"/>
        <v>0</v>
      </c>
      <c r="CP17" s="92">
        <f t="shared" si="62"/>
        <v>0</v>
      </c>
      <c r="CQ17" s="92">
        <f t="shared" si="63"/>
        <v>0</v>
      </c>
      <c r="CR17" s="127">
        <f t="shared" si="85"/>
        <v>0.15</v>
      </c>
      <c r="CS17" s="92">
        <f t="shared" si="86"/>
        <v>0.56007196815948945</v>
      </c>
      <c r="CT17" s="92">
        <f t="shared" si="64"/>
        <v>8.0600719681594892</v>
      </c>
      <c r="CU17" s="93">
        <f t="shared" si="65"/>
        <v>0.93051278321434383</v>
      </c>
      <c r="CV17">
        <f t="shared" si="87"/>
        <v>20.04</v>
      </c>
    </row>
    <row r="18" spans="1:100" ht="15.75" thickBot="1" x14ac:dyDescent="0.3">
      <c r="A18" s="12" t="s">
        <v>304</v>
      </c>
      <c r="B18" s="12">
        <f>IF(AND(VoutPri_FBB&lt;0,Vout4&lt;&gt;0),((ABS(Vout4)+Vdiode4)/ABS(VoutPri_FBB))*Np,0)</f>
        <v>0</v>
      </c>
      <c r="C18" s="12"/>
      <c r="K18">
        <v>14</v>
      </c>
      <c r="L18" s="91">
        <f t="shared" si="0"/>
        <v>21.12</v>
      </c>
      <c r="M18" s="93">
        <f t="shared" si="1"/>
        <v>0.35511363636363635</v>
      </c>
      <c r="N18" s="122">
        <f t="shared" si="66"/>
        <v>9.4970744742822283E-5</v>
      </c>
      <c r="O18" s="97">
        <f t="shared" si="67"/>
        <v>8.5473670268540052E-5</v>
      </c>
      <c r="P18" s="123">
        <f t="shared" si="68"/>
        <v>7.7703336607763687E-5</v>
      </c>
      <c r="Q18" s="127">
        <f t="shared" si="69"/>
        <v>0.41528239202657802</v>
      </c>
      <c r="R18" s="91">
        <f t="shared" si="70"/>
        <v>0.85511363636363646</v>
      </c>
      <c r="S18" s="92">
        <f t="shared" si="2"/>
        <v>0.19490586932447398</v>
      </c>
      <c r="T18" s="92">
        <f t="shared" si="71"/>
        <v>0.9525665710258735</v>
      </c>
      <c r="U18" s="92" t="e">
        <f t="shared" si="3"/>
        <v>#DIV/0!</v>
      </c>
      <c r="V18" s="118">
        <f t="shared" si="72"/>
        <v>0.55224738011891128</v>
      </c>
      <c r="W18" s="103">
        <f t="shared" si="73"/>
        <v>0.42293199703592582</v>
      </c>
      <c r="X18" s="117">
        <f t="shared" si="4"/>
        <v>0.85511363636363624</v>
      </c>
      <c r="Y18" s="103">
        <f t="shared" si="5"/>
        <v>0.19490586932447401</v>
      </c>
      <c r="Z18" s="103">
        <f t="shared" si="6"/>
        <v>0.65529218959046609</v>
      </c>
      <c r="AA18" s="118">
        <f t="shared" si="7"/>
        <v>0.69369974131106693</v>
      </c>
      <c r="AB18" s="117">
        <f t="shared" si="8"/>
        <v>0</v>
      </c>
      <c r="AC18" s="103">
        <f t="shared" si="9"/>
        <v>0</v>
      </c>
      <c r="AD18" s="103" t="e">
        <f t="shared" si="10"/>
        <v>#DIV/0!</v>
      </c>
      <c r="AE18" s="118">
        <f t="shared" si="11"/>
        <v>0</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163">
        <f t="shared" si="28"/>
        <v>5.6136483100366917E-2</v>
      </c>
      <c r="AW18" s="143">
        <f t="shared" si="74"/>
        <v>0</v>
      </c>
      <c r="AX18" s="154">
        <f t="shared" si="29"/>
        <v>0</v>
      </c>
      <c r="AY18" s="155">
        <v>14</v>
      </c>
      <c r="AZ18" s="156">
        <f t="shared" si="30"/>
        <v>0</v>
      </c>
      <c r="BA18" s="157">
        <f t="shared" si="31"/>
        <v>104.06167368142758</v>
      </c>
      <c r="BB18" s="158">
        <f t="shared" si="32"/>
        <v>3.8398757588446776E-2</v>
      </c>
      <c r="BC18" s="157">
        <f t="shared" si="75"/>
        <v>110.84643130771121</v>
      </c>
      <c r="BD18" s="159">
        <f t="shared" si="33"/>
        <v>4.0902333152545441E-2</v>
      </c>
      <c r="BE18" s="24" t="e">
        <f t="shared" si="34"/>
        <v>#DIV/0!</v>
      </c>
      <c r="BF18" s="27" t="e">
        <f t="shared" si="35"/>
        <v>#DIV/0!</v>
      </c>
      <c r="BG18" s="24" t="e">
        <f t="shared" si="36"/>
        <v>#DIV/0!</v>
      </c>
      <c r="BH18" s="61" t="e">
        <f t="shared" si="37"/>
        <v>#DIV/0!</v>
      </c>
      <c r="BI18" s="24">
        <f t="shared" si="38"/>
        <v>0</v>
      </c>
      <c r="BJ18" s="27" t="e">
        <f t="shared" si="39"/>
        <v>#DIV/0!</v>
      </c>
      <c r="BK18" s="24">
        <f t="shared" si="40"/>
        <v>0</v>
      </c>
      <c r="BL18" s="27">
        <f t="shared" si="41"/>
        <v>0</v>
      </c>
      <c r="BM18" s="24">
        <f t="shared" si="42"/>
        <v>0</v>
      </c>
      <c r="BN18" s="27">
        <f t="shared" si="43"/>
        <v>0</v>
      </c>
      <c r="BO18" s="24">
        <f t="shared" si="44"/>
        <v>0</v>
      </c>
      <c r="BP18" s="27">
        <f t="shared" si="45"/>
        <v>0</v>
      </c>
      <c r="BQ18" s="147">
        <f t="shared" si="46"/>
        <v>0</v>
      </c>
      <c r="BR18" s="27">
        <f t="shared" si="47"/>
        <v>0</v>
      </c>
      <c r="BS18" s="91" t="e">
        <f t="shared" si="76"/>
        <v>#DIV/0!</v>
      </c>
      <c r="BT18" s="101" t="e">
        <f t="shared" si="77"/>
        <v>#DIV/0!</v>
      </c>
      <c r="BU18" s="206" t="e">
        <f t="shared" si="78"/>
        <v>#DIV/0!</v>
      </c>
      <c r="BV18" s="97" t="e">
        <f t="shared" si="79"/>
        <v>#DIV/0!</v>
      </c>
      <c r="BW18" s="123" t="e">
        <f t="shared" si="80"/>
        <v>#DIV/0!</v>
      </c>
      <c r="BX18" s="91">
        <f t="shared" si="81"/>
        <v>8.8273986311983473E-3</v>
      </c>
      <c r="BY18" s="92">
        <f t="shared" si="48"/>
        <v>5.0000000000000001E-3</v>
      </c>
      <c r="BZ18" s="233">
        <f t="shared" si="49"/>
        <v>0</v>
      </c>
      <c r="CA18" s="92">
        <f t="shared" si="50"/>
        <v>0</v>
      </c>
      <c r="CB18" s="92">
        <f t="shared" si="51"/>
        <v>0</v>
      </c>
      <c r="CC18" s="92">
        <f t="shared" si="52"/>
        <v>0</v>
      </c>
      <c r="CD18" s="92">
        <f t="shared" si="53"/>
        <v>0</v>
      </c>
      <c r="CE18" s="127">
        <f t="shared" si="82"/>
        <v>1.3827398631198348E-2</v>
      </c>
      <c r="CF18" s="91">
        <f t="shared" si="83"/>
        <v>3.6570651472107432E-2</v>
      </c>
      <c r="CG18" s="92">
        <f t="shared" si="54"/>
        <v>0.13899017045454551</v>
      </c>
      <c r="CH18" s="92">
        <f t="shared" si="55"/>
        <v>6.4133522727272737E-3</v>
      </c>
      <c r="CI18" s="92">
        <f t="shared" si="56"/>
        <v>0.12672</v>
      </c>
      <c r="CJ18" s="93">
        <f t="shared" si="57"/>
        <v>0.09</v>
      </c>
      <c r="CK18" s="127">
        <f t="shared" si="84"/>
        <v>0.39869417419938025</v>
      </c>
      <c r="CL18" s="91">
        <f t="shared" si="58"/>
        <v>0.15</v>
      </c>
      <c r="CM18" s="92">
        <f t="shared" si="59"/>
        <v>0</v>
      </c>
      <c r="CN18" s="92">
        <f t="shared" si="60"/>
        <v>0</v>
      </c>
      <c r="CO18" s="92">
        <f t="shared" si="61"/>
        <v>0</v>
      </c>
      <c r="CP18" s="92">
        <f t="shared" si="62"/>
        <v>0</v>
      </c>
      <c r="CQ18" s="92">
        <f t="shared" si="63"/>
        <v>0</v>
      </c>
      <c r="CR18" s="127">
        <f t="shared" si="85"/>
        <v>0.15</v>
      </c>
      <c r="CS18" s="92">
        <f t="shared" si="86"/>
        <v>0.56252157283057858</v>
      </c>
      <c r="CT18" s="92">
        <f t="shared" si="64"/>
        <v>8.0625215728305779</v>
      </c>
      <c r="CU18" s="93">
        <f t="shared" si="65"/>
        <v>0.93023006912301642</v>
      </c>
      <c r="CV18">
        <f t="shared" si="87"/>
        <v>21.12</v>
      </c>
    </row>
    <row r="19" spans="1:100" ht="15.75" thickBot="1" x14ac:dyDescent="0.3">
      <c r="A19" s="12" t="s">
        <v>305</v>
      </c>
      <c r="B19" s="12">
        <f>IF(n4_FlyBB_Calc&lt;&gt;0,n4_FlyBB/Np,0)</f>
        <v>0</v>
      </c>
      <c r="C19" s="12"/>
      <c r="K19">
        <v>15</v>
      </c>
      <c r="L19" s="91">
        <f t="shared" si="0"/>
        <v>22.200000000000003</v>
      </c>
      <c r="M19" s="93">
        <f t="shared" si="1"/>
        <v>0.33783783783783777</v>
      </c>
      <c r="N19" s="122">
        <f t="shared" si="66"/>
        <v>9.8927621690368846E-5</v>
      </c>
      <c r="O19" s="97">
        <f t="shared" si="67"/>
        <v>8.9034859521331972E-5</v>
      </c>
      <c r="P19" s="123">
        <f t="shared" si="68"/>
        <v>8.0940781383029048E-5</v>
      </c>
      <c r="Q19" s="127">
        <f t="shared" si="69"/>
        <v>0.40322580645161288</v>
      </c>
      <c r="R19" s="91">
        <f t="shared" si="70"/>
        <v>0.83783783783783772</v>
      </c>
      <c r="S19" s="92">
        <f t="shared" si="2"/>
        <v>0.19892473118279577</v>
      </c>
      <c r="T19" s="92">
        <f t="shared" si="71"/>
        <v>0.93730020342923559</v>
      </c>
      <c r="U19" s="92" t="e">
        <f t="shared" si="3"/>
        <v>#DIV/0!</v>
      </c>
      <c r="V19" s="118">
        <f t="shared" si="72"/>
        <v>0.5332757222379545</v>
      </c>
      <c r="W19" s="103">
        <f t="shared" si="73"/>
        <v>0.41261191361067945</v>
      </c>
      <c r="X19" s="117">
        <f t="shared" si="4"/>
        <v>0.83783783783783783</v>
      </c>
      <c r="Y19" s="103">
        <f t="shared" si="5"/>
        <v>0.19892473118279572</v>
      </c>
      <c r="Z19" s="103">
        <f t="shared" si="6"/>
        <v>0.6487579163093502</v>
      </c>
      <c r="AA19" s="118">
        <f t="shared" si="7"/>
        <v>0.6722888088558242</v>
      </c>
      <c r="AB19" s="117">
        <f t="shared" si="8"/>
        <v>0</v>
      </c>
      <c r="AC19" s="103">
        <f t="shared" si="9"/>
        <v>0</v>
      </c>
      <c r="AD19" s="103" t="e">
        <f t="shared" si="10"/>
        <v>#DIV/0!</v>
      </c>
      <c r="AE19" s="118">
        <f t="shared" si="11"/>
        <v>0</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163">
        <f t="shared" si="28"/>
        <v>5.7293989395966513E-2</v>
      </c>
      <c r="AW19" s="143">
        <f t="shared" si="74"/>
        <v>0</v>
      </c>
      <c r="AX19" s="154">
        <f t="shared" si="29"/>
        <v>0</v>
      </c>
      <c r="AY19" s="155">
        <v>15</v>
      </c>
      <c r="AZ19" s="156">
        <f t="shared" si="30"/>
        <v>0</v>
      </c>
      <c r="BA19" s="157">
        <f t="shared" si="31"/>
        <v>109.86735784238702</v>
      </c>
      <c r="BB19" s="158">
        <f t="shared" si="32"/>
        <v>4.0541055043840812E-2</v>
      </c>
      <c r="BC19" s="157">
        <f t="shared" si="75"/>
        <v>116.55390187473645</v>
      </c>
      <c r="BD19" s="159">
        <f t="shared" si="33"/>
        <v>4.3008389791777749E-2</v>
      </c>
      <c r="BE19" s="24" t="e">
        <f t="shared" si="34"/>
        <v>#DIV/0!</v>
      </c>
      <c r="BF19" s="27" t="e">
        <f t="shared" si="35"/>
        <v>#DIV/0!</v>
      </c>
      <c r="BG19" s="24" t="e">
        <f t="shared" si="36"/>
        <v>#DIV/0!</v>
      </c>
      <c r="BH19" s="61" t="e">
        <f t="shared" si="37"/>
        <v>#DIV/0!</v>
      </c>
      <c r="BI19" s="24">
        <f t="shared" si="38"/>
        <v>0</v>
      </c>
      <c r="BJ19" s="27" t="e">
        <f t="shared" si="39"/>
        <v>#DIV/0!</v>
      </c>
      <c r="BK19" s="24">
        <f t="shared" si="40"/>
        <v>0</v>
      </c>
      <c r="BL19" s="27">
        <f t="shared" si="41"/>
        <v>0</v>
      </c>
      <c r="BM19" s="24">
        <f t="shared" si="42"/>
        <v>0</v>
      </c>
      <c r="BN19" s="27">
        <f t="shared" si="43"/>
        <v>0</v>
      </c>
      <c r="BO19" s="24">
        <f t="shared" si="44"/>
        <v>0</v>
      </c>
      <c r="BP19" s="27">
        <f t="shared" si="45"/>
        <v>0</v>
      </c>
      <c r="BQ19" s="147">
        <f t="shared" si="46"/>
        <v>0</v>
      </c>
      <c r="BR19" s="27">
        <f t="shared" si="47"/>
        <v>0</v>
      </c>
      <c r="BS19" s="91" t="e">
        <f t="shared" si="76"/>
        <v>#DIV/0!</v>
      </c>
      <c r="BT19" s="101" t="e">
        <f t="shared" si="77"/>
        <v>#DIV/0!</v>
      </c>
      <c r="BU19" s="206" t="e">
        <f t="shared" si="78"/>
        <v>#DIV/0!</v>
      </c>
      <c r="BV19" s="97" t="e">
        <f t="shared" si="79"/>
        <v>#DIV/0!</v>
      </c>
      <c r="BW19" s="123" t="e">
        <f t="shared" si="80"/>
        <v>#DIV/0!</v>
      </c>
      <c r="BX19" s="91">
        <f t="shared" si="81"/>
        <v>7.9894083272461624E-3</v>
      </c>
      <c r="BY19" s="92">
        <f t="shared" si="48"/>
        <v>5.0000000000000001E-3</v>
      </c>
      <c r="BZ19" s="233">
        <f t="shared" si="49"/>
        <v>0</v>
      </c>
      <c r="CA19" s="92">
        <f t="shared" si="50"/>
        <v>0</v>
      </c>
      <c r="CB19" s="92">
        <f t="shared" si="51"/>
        <v>0</v>
      </c>
      <c r="CC19" s="92">
        <f t="shared" si="52"/>
        <v>0</v>
      </c>
      <c r="CD19" s="92">
        <f t="shared" si="53"/>
        <v>0</v>
      </c>
      <c r="CE19" s="127">
        <f t="shared" si="82"/>
        <v>1.2989408327246162E-2</v>
      </c>
      <c r="CF19" s="91">
        <f t="shared" si="83"/>
        <v>3.3098977355734097E-2</v>
      </c>
      <c r="CG19" s="92">
        <f t="shared" si="54"/>
        <v>0.14025405405405406</v>
      </c>
      <c r="CH19" s="92">
        <f t="shared" si="55"/>
        <v>6.2837837837837829E-3</v>
      </c>
      <c r="CI19" s="92">
        <f t="shared" si="56"/>
        <v>0.13320000000000001</v>
      </c>
      <c r="CJ19" s="93">
        <f t="shared" si="57"/>
        <v>0.09</v>
      </c>
      <c r="CK19" s="127">
        <f t="shared" si="84"/>
        <v>0.40283681519357195</v>
      </c>
      <c r="CL19" s="91">
        <f t="shared" si="58"/>
        <v>0.15</v>
      </c>
      <c r="CM19" s="92">
        <f t="shared" si="59"/>
        <v>0</v>
      </c>
      <c r="CN19" s="92">
        <f t="shared" si="60"/>
        <v>0</v>
      </c>
      <c r="CO19" s="92">
        <f t="shared" si="61"/>
        <v>0</v>
      </c>
      <c r="CP19" s="92">
        <f t="shared" si="62"/>
        <v>0</v>
      </c>
      <c r="CQ19" s="92">
        <f t="shared" si="63"/>
        <v>0</v>
      </c>
      <c r="CR19" s="127">
        <f t="shared" si="85"/>
        <v>0.15</v>
      </c>
      <c r="CS19" s="92">
        <f t="shared" si="86"/>
        <v>0.56582622352081813</v>
      </c>
      <c r="CT19" s="92">
        <f t="shared" si="64"/>
        <v>8.0658262235208174</v>
      </c>
      <c r="CU19" s="93">
        <f t="shared" si="65"/>
        <v>0.92984894444281385</v>
      </c>
      <c r="CV19">
        <f t="shared" si="87"/>
        <v>22.200000000000003</v>
      </c>
    </row>
    <row r="20" spans="1:100" ht="15.75" thickBot="1" x14ac:dyDescent="0.3">
      <c r="A20" s="12" t="s">
        <v>306</v>
      </c>
      <c r="B20" s="12">
        <f>IF(AND(VoutPri_FBB&lt;0,Vout5&lt;&gt;0),((ABS(Vout5)+Vdiode5)/ABS(VoutPri_FBB))*Np,0)</f>
        <v>0</v>
      </c>
      <c r="C20" s="12"/>
      <c r="K20">
        <v>16</v>
      </c>
      <c r="L20" s="91">
        <f t="shared" si="0"/>
        <v>23.28</v>
      </c>
      <c r="M20" s="93">
        <f t="shared" si="1"/>
        <v>0.32216494845360821</v>
      </c>
      <c r="N20" s="122">
        <f t="shared" si="66"/>
        <v>1.0273527623003354E-4</v>
      </c>
      <c r="O20" s="97">
        <f t="shared" si="67"/>
        <v>9.2461748607030201E-5</v>
      </c>
      <c r="P20" s="123">
        <f t="shared" si="68"/>
        <v>8.4056135097300164E-5</v>
      </c>
      <c r="Q20" s="127">
        <f t="shared" si="69"/>
        <v>0.39184952978056425</v>
      </c>
      <c r="R20" s="91">
        <f t="shared" si="70"/>
        <v>0.82216494845360821</v>
      </c>
      <c r="S20" s="92">
        <f t="shared" si="2"/>
        <v>0.20271682340647862</v>
      </c>
      <c r="T20" s="92">
        <f t="shared" si="71"/>
        <v>0.92352336015684755</v>
      </c>
      <c r="U20" s="92" t="e">
        <f t="shared" si="3"/>
        <v>#DIV/0!</v>
      </c>
      <c r="V20" s="118">
        <f t="shared" si="72"/>
        <v>0.5159599020870459</v>
      </c>
      <c r="W20" s="103">
        <f t="shared" si="73"/>
        <v>0.4030190647470141</v>
      </c>
      <c r="X20" s="117">
        <f t="shared" si="4"/>
        <v>0.82216494845360821</v>
      </c>
      <c r="Y20" s="103">
        <f t="shared" si="5"/>
        <v>0.20271682340647865</v>
      </c>
      <c r="Z20" s="103">
        <f t="shared" si="6"/>
        <v>0.64277919312289356</v>
      </c>
      <c r="AA20" s="118">
        <f t="shared" si="7"/>
        <v>0.65265243619075253</v>
      </c>
      <c r="AB20" s="117">
        <f t="shared" si="8"/>
        <v>0</v>
      </c>
      <c r="AC20" s="103">
        <f t="shared" si="9"/>
        <v>0</v>
      </c>
      <c r="AD20" s="103" t="e">
        <f t="shared" si="10"/>
        <v>#DIV/0!</v>
      </c>
      <c r="AE20" s="118">
        <f t="shared" si="11"/>
        <v>0</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163">
        <f t="shared" si="28"/>
        <v>5.8386181856704661E-2</v>
      </c>
      <c r="AW20" s="143">
        <f t="shared" si="74"/>
        <v>0</v>
      </c>
      <c r="AX20" s="154">
        <f t="shared" si="29"/>
        <v>0</v>
      </c>
      <c r="AY20" s="155">
        <v>16</v>
      </c>
      <c r="AZ20" s="156">
        <f t="shared" si="30"/>
        <v>0</v>
      </c>
      <c r="BA20" s="157">
        <f t="shared" si="31"/>
        <v>115.52696739818001</v>
      </c>
      <c r="BB20" s="158">
        <f t="shared" si="32"/>
        <v>4.2629450969928422E-2</v>
      </c>
      <c r="BC20" s="157">
        <f t="shared" si="75"/>
        <v>122.09596374286915</v>
      </c>
      <c r="BD20" s="159">
        <f t="shared" si="33"/>
        <v>4.5053410621118714E-2</v>
      </c>
      <c r="BE20" s="24" t="e">
        <f t="shared" si="34"/>
        <v>#DIV/0!</v>
      </c>
      <c r="BF20" s="27" t="e">
        <f t="shared" si="35"/>
        <v>#DIV/0!</v>
      </c>
      <c r="BG20" s="24" t="e">
        <f t="shared" si="36"/>
        <v>#DIV/0!</v>
      </c>
      <c r="BH20" s="61" t="e">
        <f t="shared" si="37"/>
        <v>#DIV/0!</v>
      </c>
      <c r="BI20" s="24">
        <f t="shared" si="38"/>
        <v>0</v>
      </c>
      <c r="BJ20" s="27" t="e">
        <f t="shared" si="39"/>
        <v>#DIV/0!</v>
      </c>
      <c r="BK20" s="24">
        <f t="shared" si="40"/>
        <v>0</v>
      </c>
      <c r="BL20" s="27">
        <f t="shared" si="41"/>
        <v>0</v>
      </c>
      <c r="BM20" s="24">
        <f t="shared" si="42"/>
        <v>0</v>
      </c>
      <c r="BN20" s="27">
        <f t="shared" si="43"/>
        <v>0</v>
      </c>
      <c r="BO20" s="24">
        <f t="shared" si="44"/>
        <v>0</v>
      </c>
      <c r="BP20" s="27">
        <f t="shared" si="45"/>
        <v>0</v>
      </c>
      <c r="BQ20" s="147">
        <f t="shared" si="46"/>
        <v>0</v>
      </c>
      <c r="BR20" s="27">
        <f t="shared" si="47"/>
        <v>0</v>
      </c>
      <c r="BS20" s="91" t="e">
        <f t="shared" si="76"/>
        <v>#DIV/0!</v>
      </c>
      <c r="BT20" s="101" t="e">
        <f t="shared" si="77"/>
        <v>#DIV/0!</v>
      </c>
      <c r="BU20" s="206" t="e">
        <f t="shared" si="78"/>
        <v>#DIV/0!</v>
      </c>
      <c r="BV20" s="97" t="e">
        <f t="shared" si="79"/>
        <v>#DIV/0!</v>
      </c>
      <c r="BW20" s="123" t="e">
        <f t="shared" si="80"/>
        <v>#DIV/0!</v>
      </c>
      <c r="BX20" s="91">
        <f t="shared" si="81"/>
        <v>7.2653177808481234E-3</v>
      </c>
      <c r="BY20" s="92">
        <f t="shared" si="48"/>
        <v>5.0000000000000001E-3</v>
      </c>
      <c r="BZ20" s="233">
        <f t="shared" si="49"/>
        <v>0</v>
      </c>
      <c r="CA20" s="92">
        <f t="shared" si="50"/>
        <v>0</v>
      </c>
      <c r="CB20" s="92">
        <f t="shared" si="51"/>
        <v>0</v>
      </c>
      <c r="CC20" s="92">
        <f t="shared" si="52"/>
        <v>0</v>
      </c>
      <c r="CD20" s="92">
        <f t="shared" si="53"/>
        <v>0</v>
      </c>
      <c r="CE20" s="127">
        <f t="shared" si="82"/>
        <v>1.2265317780848124E-2</v>
      </c>
      <c r="CF20" s="91">
        <f t="shared" si="83"/>
        <v>3.009917366351365E-2</v>
      </c>
      <c r="CG20" s="92">
        <f t="shared" si="54"/>
        <v>0.14162613402061858</v>
      </c>
      <c r="CH20" s="92">
        <f t="shared" si="55"/>
        <v>6.1662371134020627E-3</v>
      </c>
      <c r="CI20" s="92">
        <f t="shared" si="56"/>
        <v>0.13968</v>
      </c>
      <c r="CJ20" s="93">
        <f t="shared" si="57"/>
        <v>0.09</v>
      </c>
      <c r="CK20" s="127">
        <f t="shared" si="84"/>
        <v>0.40757154479753421</v>
      </c>
      <c r="CL20" s="91">
        <f t="shared" si="58"/>
        <v>0.15</v>
      </c>
      <c r="CM20" s="92">
        <f t="shared" si="59"/>
        <v>0</v>
      </c>
      <c r="CN20" s="92">
        <f t="shared" si="60"/>
        <v>0</v>
      </c>
      <c r="CO20" s="92">
        <f t="shared" si="61"/>
        <v>0</v>
      </c>
      <c r="CP20" s="92">
        <f t="shared" si="62"/>
        <v>0</v>
      </c>
      <c r="CQ20" s="92">
        <f t="shared" si="63"/>
        <v>0</v>
      </c>
      <c r="CR20" s="127">
        <f t="shared" si="85"/>
        <v>0.15</v>
      </c>
      <c r="CS20" s="92">
        <f t="shared" si="86"/>
        <v>0.5698368625783824</v>
      </c>
      <c r="CT20" s="92">
        <f t="shared" si="64"/>
        <v>8.0698368625783825</v>
      </c>
      <c r="CU20" s="93">
        <f t="shared" si="65"/>
        <v>0.92938681756742292</v>
      </c>
      <c r="CV20">
        <f t="shared" si="87"/>
        <v>23.28</v>
      </c>
    </row>
    <row r="21" spans="1:100" ht="15.75" thickBot="1" x14ac:dyDescent="0.3">
      <c r="A21" s="12" t="s">
        <v>307</v>
      </c>
      <c r="B21" s="12">
        <f>IF(n5_FlyBB_Calc&lt;&gt;0,n5_FlyBB/Np,0)</f>
        <v>0</v>
      </c>
      <c r="C21" s="12"/>
      <c r="K21">
        <v>17</v>
      </c>
      <c r="L21" s="91">
        <f t="shared" si="0"/>
        <v>24.36</v>
      </c>
      <c r="M21" s="93">
        <f t="shared" si="1"/>
        <v>0.30788177339901479</v>
      </c>
      <c r="N21" s="122">
        <f t="shared" si="66"/>
        <v>1.0640006361953862E-4</v>
      </c>
      <c r="O21" s="97">
        <f t="shared" si="67"/>
        <v>9.576005725758476E-5</v>
      </c>
      <c r="P21" s="123">
        <f t="shared" si="68"/>
        <v>8.7054597506895236E-5</v>
      </c>
      <c r="Q21" s="127">
        <f t="shared" si="69"/>
        <v>0.38109756097560976</v>
      </c>
      <c r="R21" s="91">
        <f t="shared" si="70"/>
        <v>0.80788177339901479</v>
      </c>
      <c r="S21" s="92">
        <f t="shared" si="2"/>
        <v>0.20630081300813011</v>
      </c>
      <c r="T21" s="92">
        <f t="shared" si="71"/>
        <v>0.91103217990307983</v>
      </c>
      <c r="U21" s="92" t="e">
        <f t="shared" si="3"/>
        <v>#DIV/0!</v>
      </c>
      <c r="V21" s="118">
        <f t="shared" si="72"/>
        <v>0.5000836929107616</v>
      </c>
      <c r="W21" s="103">
        <f t="shared" si="73"/>
        <v>0.39407171114397777</v>
      </c>
      <c r="X21" s="117">
        <f t="shared" si="4"/>
        <v>0.80788177339901479</v>
      </c>
      <c r="Y21" s="103">
        <f t="shared" si="5"/>
        <v>0.20630081300813011</v>
      </c>
      <c r="Z21" s="103">
        <f t="shared" si="6"/>
        <v>0.63728794799712807</v>
      </c>
      <c r="AA21" s="118">
        <f t="shared" si="7"/>
        <v>0.63456517379252475</v>
      </c>
      <c r="AB21" s="117">
        <f t="shared" si="8"/>
        <v>0</v>
      </c>
      <c r="AC21" s="103">
        <f t="shared" si="9"/>
        <v>0</v>
      </c>
      <c r="AD21" s="103" t="e">
        <f t="shared" si="10"/>
        <v>#DIV/0!</v>
      </c>
      <c r="AE21" s="118">
        <f t="shared" si="11"/>
        <v>0</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163">
        <f t="shared" si="28"/>
        <v>5.9418436926304746E-2</v>
      </c>
      <c r="AW21" s="143">
        <f t="shared" si="74"/>
        <v>0</v>
      </c>
      <c r="AX21" s="154">
        <f t="shared" si="29"/>
        <v>0</v>
      </c>
      <c r="AY21" s="155">
        <v>17</v>
      </c>
      <c r="AZ21" s="156">
        <f t="shared" si="30"/>
        <v>0</v>
      </c>
      <c r="BA21" s="157">
        <f t="shared" si="31"/>
        <v>121.04003067687788</v>
      </c>
      <c r="BB21" s="158">
        <f t="shared" si="32"/>
        <v>4.4663771319767939E-2</v>
      </c>
      <c r="BC21" s="157">
        <f t="shared" si="75"/>
        <v>127.47491459468759</v>
      </c>
      <c r="BD21" s="159">
        <f t="shared" si="33"/>
        <v>4.7038243485439724E-2</v>
      </c>
      <c r="BE21" s="24" t="e">
        <f t="shared" si="34"/>
        <v>#DIV/0!</v>
      </c>
      <c r="BF21" s="27" t="e">
        <f t="shared" si="35"/>
        <v>#DIV/0!</v>
      </c>
      <c r="BG21" s="24" t="e">
        <f t="shared" si="36"/>
        <v>#DIV/0!</v>
      </c>
      <c r="BH21" s="61" t="e">
        <f t="shared" si="37"/>
        <v>#DIV/0!</v>
      </c>
      <c r="BI21" s="24">
        <f t="shared" si="38"/>
        <v>0</v>
      </c>
      <c r="BJ21" s="27" t="e">
        <f t="shared" si="39"/>
        <v>#DIV/0!</v>
      </c>
      <c r="BK21" s="24">
        <f t="shared" si="40"/>
        <v>0</v>
      </c>
      <c r="BL21" s="27">
        <f t="shared" si="41"/>
        <v>0</v>
      </c>
      <c r="BM21" s="24">
        <f t="shared" si="42"/>
        <v>0</v>
      </c>
      <c r="BN21" s="27">
        <f t="shared" si="43"/>
        <v>0</v>
      </c>
      <c r="BO21" s="24">
        <f t="shared" si="44"/>
        <v>0</v>
      </c>
      <c r="BP21" s="27">
        <f t="shared" si="45"/>
        <v>0</v>
      </c>
      <c r="BQ21" s="147">
        <f t="shared" si="46"/>
        <v>0</v>
      </c>
      <c r="BR21" s="27">
        <f t="shared" si="47"/>
        <v>0</v>
      </c>
      <c r="BS21" s="91" t="e">
        <f t="shared" si="76"/>
        <v>#DIV/0!</v>
      </c>
      <c r="BT21" s="101" t="e">
        <f t="shared" si="77"/>
        <v>#DIV/0!</v>
      </c>
      <c r="BU21" s="206" t="e">
        <f t="shared" si="78"/>
        <v>#DIV/0!</v>
      </c>
      <c r="BV21" s="97" t="e">
        <f t="shared" si="79"/>
        <v>#DIV/0!</v>
      </c>
      <c r="BW21" s="123" t="e">
        <f t="shared" si="80"/>
        <v>#DIV/0!</v>
      </c>
      <c r="BX21" s="91">
        <f t="shared" si="81"/>
        <v>6.6353830473925611E-3</v>
      </c>
      <c r="BY21" s="92">
        <f t="shared" si="48"/>
        <v>5.0000000000000001E-3</v>
      </c>
      <c r="BZ21" s="233">
        <f t="shared" si="49"/>
        <v>0</v>
      </c>
      <c r="CA21" s="92">
        <f t="shared" si="50"/>
        <v>0</v>
      </c>
      <c r="CB21" s="92">
        <f t="shared" si="51"/>
        <v>0</v>
      </c>
      <c r="CC21" s="92">
        <f t="shared" si="52"/>
        <v>0</v>
      </c>
      <c r="CD21" s="92">
        <f t="shared" si="53"/>
        <v>0</v>
      </c>
      <c r="CE21" s="127">
        <f t="shared" si="82"/>
        <v>1.1635383047392561E-2</v>
      </c>
      <c r="CF21" s="91">
        <f t="shared" si="83"/>
        <v>2.7489444053483462E-2</v>
      </c>
      <c r="CG21" s="92">
        <f t="shared" si="54"/>
        <v>0.14309201970443353</v>
      </c>
      <c r="CH21" s="92">
        <f t="shared" si="55"/>
        <v>6.0591133004926113E-3</v>
      </c>
      <c r="CI21" s="92">
        <f t="shared" si="56"/>
        <v>0.14615999999999998</v>
      </c>
      <c r="CJ21" s="93">
        <f t="shared" si="57"/>
        <v>0.09</v>
      </c>
      <c r="CK21" s="127">
        <f t="shared" si="84"/>
        <v>0.41280057705840956</v>
      </c>
      <c r="CL21" s="91">
        <f t="shared" si="58"/>
        <v>0.15</v>
      </c>
      <c r="CM21" s="92">
        <f t="shared" si="59"/>
        <v>0</v>
      </c>
      <c r="CN21" s="92">
        <f t="shared" si="60"/>
        <v>0</v>
      </c>
      <c r="CO21" s="92">
        <f t="shared" si="61"/>
        <v>0</v>
      </c>
      <c r="CP21" s="92">
        <f t="shared" si="62"/>
        <v>0</v>
      </c>
      <c r="CQ21" s="92">
        <f t="shared" si="63"/>
        <v>0</v>
      </c>
      <c r="CR21" s="127">
        <f t="shared" si="85"/>
        <v>0.15</v>
      </c>
      <c r="CS21" s="92">
        <f t="shared" si="86"/>
        <v>0.57443596010580211</v>
      </c>
      <c r="CT21" s="92">
        <f t="shared" si="64"/>
        <v>8.0744359601058022</v>
      </c>
      <c r="CU21" s="93">
        <f t="shared" si="65"/>
        <v>0.92885745048397472</v>
      </c>
      <c r="CV21">
        <f t="shared" si="87"/>
        <v>24.36</v>
      </c>
    </row>
    <row r="22" spans="1:100" ht="15.75" thickBot="1" x14ac:dyDescent="0.3">
      <c r="A22" s="12" t="s">
        <v>308</v>
      </c>
      <c r="B22" s="12">
        <f>IF(AND(VoutPri_FBB&lt;0,Vout6&lt;&gt;0),((ABS(Vout6)+Vdiode6)/ABS(VoutPri_FBB))*Np,0)</f>
        <v>0</v>
      </c>
      <c r="C22" s="12"/>
      <c r="K22">
        <v>18</v>
      </c>
      <c r="L22" s="91">
        <f t="shared" si="0"/>
        <v>25.44</v>
      </c>
      <c r="M22" s="93">
        <f t="shared" si="1"/>
        <v>0.29481132075471694</v>
      </c>
      <c r="N22" s="122">
        <f t="shared" si="66"/>
        <v>1.0992827659347575E-4</v>
      </c>
      <c r="O22" s="97">
        <f t="shared" si="67"/>
        <v>9.8935448934128168E-5</v>
      </c>
      <c r="P22" s="123">
        <f t="shared" si="68"/>
        <v>8.99413172128438E-5</v>
      </c>
      <c r="Q22" s="127">
        <f t="shared" si="69"/>
        <v>0.37091988130563802</v>
      </c>
      <c r="R22" s="91">
        <f t="shared" si="70"/>
        <v>0.79481132075471683</v>
      </c>
      <c r="S22" s="92">
        <f t="shared" si="2"/>
        <v>0.20969337289812076</v>
      </c>
      <c r="T22" s="92">
        <f t="shared" si="71"/>
        <v>0.8996580072037772</v>
      </c>
      <c r="U22" s="92" t="e">
        <f t="shared" si="3"/>
        <v>#DIV/0!</v>
      </c>
      <c r="V22" s="118">
        <f t="shared" si="72"/>
        <v>0.4854673294871365</v>
      </c>
      <c r="W22" s="103">
        <f t="shared" si="73"/>
        <v>0.38570041891892126</v>
      </c>
      <c r="X22" s="117">
        <f t="shared" si="4"/>
        <v>0.79481132075471705</v>
      </c>
      <c r="Y22" s="103">
        <f t="shared" si="5"/>
        <v>0.20969337289812071</v>
      </c>
      <c r="Z22" s="103">
        <f t="shared" si="6"/>
        <v>0.63222684495909776</v>
      </c>
      <c r="AA22" s="118">
        <f t="shared" si="7"/>
        <v>0.61783900459574237</v>
      </c>
      <c r="AB22" s="117">
        <f t="shared" si="8"/>
        <v>0</v>
      </c>
      <c r="AC22" s="103">
        <f t="shared" si="9"/>
        <v>0</v>
      </c>
      <c r="AD22" s="103" t="e">
        <f t="shared" si="10"/>
        <v>#DIV/0!</v>
      </c>
      <c r="AE22" s="118">
        <f t="shared" si="11"/>
        <v>0</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163">
        <f t="shared" si="28"/>
        <v>6.0395556710288227E-2</v>
      </c>
      <c r="AW22" s="143">
        <f t="shared" si="74"/>
        <v>0</v>
      </c>
      <c r="AX22" s="154">
        <f t="shared" si="29"/>
        <v>0</v>
      </c>
      <c r="AY22" s="155">
        <v>18</v>
      </c>
      <c r="AZ22" s="156">
        <f t="shared" si="30"/>
        <v>0</v>
      </c>
      <c r="BA22" s="157">
        <f t="shared" si="31"/>
        <v>126.40720894322645</v>
      </c>
      <c r="BB22" s="158">
        <f t="shared" si="32"/>
        <v>4.6644260100050558E-2</v>
      </c>
      <c r="BC22" s="157">
        <f t="shared" si="75"/>
        <v>132.69384960826085</v>
      </c>
      <c r="BD22" s="159">
        <f t="shared" si="33"/>
        <v>4.8964030505448251E-2</v>
      </c>
      <c r="BE22" s="24" t="e">
        <f t="shared" si="34"/>
        <v>#DIV/0!</v>
      </c>
      <c r="BF22" s="27" t="e">
        <f t="shared" si="35"/>
        <v>#DIV/0!</v>
      </c>
      <c r="BG22" s="24" t="e">
        <f t="shared" si="36"/>
        <v>#DIV/0!</v>
      </c>
      <c r="BH22" s="61" t="e">
        <f t="shared" si="37"/>
        <v>#DIV/0!</v>
      </c>
      <c r="BI22" s="24">
        <f t="shared" si="38"/>
        <v>0</v>
      </c>
      <c r="BJ22" s="27" t="e">
        <f t="shared" si="39"/>
        <v>#DIV/0!</v>
      </c>
      <c r="BK22" s="24">
        <f t="shared" si="40"/>
        <v>0</v>
      </c>
      <c r="BL22" s="27">
        <f t="shared" si="41"/>
        <v>0</v>
      </c>
      <c r="BM22" s="24">
        <f t="shared" si="42"/>
        <v>0</v>
      </c>
      <c r="BN22" s="27">
        <f t="shared" si="43"/>
        <v>0</v>
      </c>
      <c r="BO22" s="24">
        <f t="shared" si="44"/>
        <v>0</v>
      </c>
      <c r="BP22" s="27">
        <f t="shared" si="45"/>
        <v>0</v>
      </c>
      <c r="BQ22" s="147">
        <f t="shared" si="46"/>
        <v>0</v>
      </c>
      <c r="BR22" s="27">
        <f t="shared" si="47"/>
        <v>0</v>
      </c>
      <c r="BS22" s="91" t="e">
        <f t="shared" si="76"/>
        <v>#DIV/0!</v>
      </c>
      <c r="BT22" s="101" t="e">
        <f t="shared" si="77"/>
        <v>#DIV/0!</v>
      </c>
      <c r="BU22" s="206" t="e">
        <f t="shared" si="78"/>
        <v>#DIV/0!</v>
      </c>
      <c r="BV22" s="97" t="e">
        <f t="shared" si="79"/>
        <v>#DIV/0!</v>
      </c>
      <c r="BW22" s="123" t="e">
        <f t="shared" si="80"/>
        <v>#DIV/0!</v>
      </c>
      <c r="BX22" s="91">
        <f t="shared" si="81"/>
        <v>6.0839600391598423E-3</v>
      </c>
      <c r="BY22" s="92">
        <f t="shared" si="48"/>
        <v>5.0000000000000001E-3</v>
      </c>
      <c r="BZ22" s="233">
        <f t="shared" si="49"/>
        <v>0</v>
      </c>
      <c r="CA22" s="92">
        <f t="shared" si="50"/>
        <v>0</v>
      </c>
      <c r="CB22" s="92">
        <f t="shared" si="51"/>
        <v>0</v>
      </c>
      <c r="CC22" s="92">
        <f t="shared" si="52"/>
        <v>0</v>
      </c>
      <c r="CD22" s="92">
        <f t="shared" si="53"/>
        <v>0</v>
      </c>
      <c r="CE22" s="127">
        <f t="shared" si="82"/>
        <v>1.1083960039159842E-2</v>
      </c>
      <c r="CF22" s="91">
        <f t="shared" si="83"/>
        <v>2.5204977305090772E-2</v>
      </c>
      <c r="CG22" s="92">
        <f t="shared" si="54"/>
        <v>0.14463976415094337</v>
      </c>
      <c r="CH22" s="92">
        <f t="shared" si="55"/>
        <v>5.9610849056603767E-3</v>
      </c>
      <c r="CI22" s="92">
        <f t="shared" si="56"/>
        <v>0.15264</v>
      </c>
      <c r="CJ22" s="93">
        <f t="shared" si="57"/>
        <v>0.09</v>
      </c>
      <c r="CK22" s="127">
        <f t="shared" si="84"/>
        <v>0.41844582636169447</v>
      </c>
      <c r="CL22" s="91">
        <f t="shared" si="58"/>
        <v>0.15</v>
      </c>
      <c r="CM22" s="92">
        <f t="shared" si="59"/>
        <v>0</v>
      </c>
      <c r="CN22" s="92">
        <f t="shared" si="60"/>
        <v>0</v>
      </c>
      <c r="CO22" s="92">
        <f t="shared" si="61"/>
        <v>0</v>
      </c>
      <c r="CP22" s="92">
        <f t="shared" si="62"/>
        <v>0</v>
      </c>
      <c r="CQ22" s="92">
        <f t="shared" si="63"/>
        <v>0</v>
      </c>
      <c r="CR22" s="127">
        <f t="shared" si="85"/>
        <v>0.15</v>
      </c>
      <c r="CS22" s="92">
        <f t="shared" si="86"/>
        <v>0.57952978640085429</v>
      </c>
      <c r="CT22" s="92">
        <f t="shared" si="64"/>
        <v>8.0795297864008546</v>
      </c>
      <c r="CU22" s="93">
        <f t="shared" si="65"/>
        <v>0.9282718423321743</v>
      </c>
      <c r="CV22">
        <f t="shared" si="87"/>
        <v>25.44</v>
      </c>
    </row>
    <row r="23" spans="1:100" ht="15.75" thickBot="1" x14ac:dyDescent="0.3">
      <c r="A23" s="12" t="s">
        <v>309</v>
      </c>
      <c r="B23" s="12">
        <f>IF(n6_FlyBB_Calc&lt;&gt;0,n6_FlyBB/Np,0)</f>
        <v>0</v>
      </c>
      <c r="C23" s="12"/>
      <c r="K23">
        <v>19</v>
      </c>
      <c r="L23" s="91">
        <f t="shared" si="0"/>
        <v>26.520000000000003</v>
      </c>
      <c r="M23" s="93">
        <f t="shared" si="1"/>
        <v>0.28280542986425333</v>
      </c>
      <c r="N23" s="122">
        <f t="shared" si="66"/>
        <v>1.1332607541552043E-4</v>
      </c>
      <c r="O23" s="97">
        <f t="shared" si="67"/>
        <v>1.0199346787396838E-4</v>
      </c>
      <c r="P23" s="123">
        <f t="shared" si="68"/>
        <v>9.272133443088035E-5</v>
      </c>
      <c r="Q23" s="127">
        <f t="shared" si="69"/>
        <v>0.36127167630057799</v>
      </c>
      <c r="R23" s="91">
        <f t="shared" si="70"/>
        <v>0.78280542986425328</v>
      </c>
      <c r="S23" s="92">
        <f t="shared" si="2"/>
        <v>0.21290944123314068</v>
      </c>
      <c r="T23" s="92">
        <f t="shared" si="71"/>
        <v>0.88926015048082363</v>
      </c>
      <c r="U23" s="92" t="e">
        <f t="shared" si="3"/>
        <v>#DIV/0!</v>
      </c>
      <c r="V23" s="118">
        <f t="shared" si="72"/>
        <v>0.47196010721313031</v>
      </c>
      <c r="W23" s="103">
        <f t="shared" si="73"/>
        <v>0.37784577758647026</v>
      </c>
      <c r="X23" s="117">
        <f t="shared" si="4"/>
        <v>0.78280542986425339</v>
      </c>
      <c r="Y23" s="103">
        <f t="shared" si="5"/>
        <v>0.21290944123314071</v>
      </c>
      <c r="Z23" s="103">
        <f t="shared" si="6"/>
        <v>0.62754723652607469</v>
      </c>
      <c r="AA23" s="118">
        <f t="shared" si="7"/>
        <v>0.60231581502145404</v>
      </c>
      <c r="AB23" s="117">
        <f t="shared" si="8"/>
        <v>0</v>
      </c>
      <c r="AC23" s="103">
        <f t="shared" si="9"/>
        <v>0</v>
      </c>
      <c r="AD23" s="103" t="e">
        <f t="shared" si="10"/>
        <v>#DIV/0!</v>
      </c>
      <c r="AE23" s="118">
        <f t="shared" si="11"/>
        <v>0</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163">
        <f t="shared" si="28"/>
        <v>6.1321843673139587E-2</v>
      </c>
      <c r="AW23" s="143">
        <f t="shared" si="74"/>
        <v>0</v>
      </c>
      <c r="AX23" s="154">
        <f t="shared" si="29"/>
        <v>0</v>
      </c>
      <c r="AY23" s="155">
        <v>19</v>
      </c>
      <c r="AZ23" s="156">
        <f t="shared" si="30"/>
        <v>0</v>
      </c>
      <c r="BA23" s="157">
        <f t="shared" si="31"/>
        <v>131.63004013678739</v>
      </c>
      <c r="BB23" s="158">
        <f t="shared" si="32"/>
        <v>4.8571484810474547E-2</v>
      </c>
      <c r="BC23" s="157">
        <f t="shared" si="75"/>
        <v>137.75644357292433</v>
      </c>
      <c r="BD23" s="159">
        <f t="shared" si="33"/>
        <v>5.083212767840907E-2</v>
      </c>
      <c r="BE23" s="24" t="e">
        <f t="shared" si="34"/>
        <v>#DIV/0!</v>
      </c>
      <c r="BF23" s="27" t="e">
        <f t="shared" si="35"/>
        <v>#DIV/0!</v>
      </c>
      <c r="BG23" s="24" t="e">
        <f t="shared" si="36"/>
        <v>#DIV/0!</v>
      </c>
      <c r="BH23" s="61" t="e">
        <f t="shared" si="37"/>
        <v>#DIV/0!</v>
      </c>
      <c r="BI23" s="24">
        <f t="shared" si="38"/>
        <v>0</v>
      </c>
      <c r="BJ23" s="27" t="e">
        <f t="shared" si="39"/>
        <v>#DIV/0!</v>
      </c>
      <c r="BK23" s="24">
        <f t="shared" si="40"/>
        <v>0</v>
      </c>
      <c r="BL23" s="27">
        <f t="shared" si="41"/>
        <v>0</v>
      </c>
      <c r="BM23" s="24">
        <f t="shared" si="42"/>
        <v>0</v>
      </c>
      <c r="BN23" s="27">
        <f t="shared" si="43"/>
        <v>0</v>
      </c>
      <c r="BO23" s="24">
        <f t="shared" si="44"/>
        <v>0</v>
      </c>
      <c r="BP23" s="27">
        <f t="shared" si="45"/>
        <v>0</v>
      </c>
      <c r="BQ23" s="147">
        <f t="shared" si="46"/>
        <v>0</v>
      </c>
      <c r="BR23" s="27">
        <f t="shared" si="47"/>
        <v>0</v>
      </c>
      <c r="BS23" s="91" t="e">
        <f t="shared" si="76"/>
        <v>#DIV/0!</v>
      </c>
      <c r="BT23" s="101" t="e">
        <f t="shared" si="77"/>
        <v>#DIV/0!</v>
      </c>
      <c r="BU23" s="206" t="e">
        <f t="shared" si="78"/>
        <v>#DIV/0!</v>
      </c>
      <c r="BV23" s="97" t="e">
        <f t="shared" si="79"/>
        <v>#DIV/0!</v>
      </c>
      <c r="BW23" s="123" t="e">
        <f t="shared" si="80"/>
        <v>#DIV/0!</v>
      </c>
      <c r="BX23" s="91">
        <f t="shared" si="81"/>
        <v>5.5985237812493588E-3</v>
      </c>
      <c r="BY23" s="92">
        <f t="shared" si="48"/>
        <v>5.0000000000000001E-3</v>
      </c>
      <c r="BZ23" s="233">
        <f t="shared" si="49"/>
        <v>0</v>
      </c>
      <c r="CA23" s="92">
        <f t="shared" si="50"/>
        <v>0</v>
      </c>
      <c r="CB23" s="92">
        <f t="shared" si="51"/>
        <v>0</v>
      </c>
      <c r="CC23" s="92">
        <f t="shared" si="52"/>
        <v>0</v>
      </c>
      <c r="CD23" s="92">
        <f t="shared" si="53"/>
        <v>0</v>
      </c>
      <c r="CE23" s="127">
        <f t="shared" si="82"/>
        <v>1.0598523781249359E-2</v>
      </c>
      <c r="CF23" s="91">
        <f t="shared" si="83"/>
        <v>2.319388423660448E-2</v>
      </c>
      <c r="CG23" s="92">
        <f t="shared" si="54"/>
        <v>0.1462593665158371</v>
      </c>
      <c r="CH23" s="92">
        <f t="shared" si="55"/>
        <v>5.8710407239819006E-3</v>
      </c>
      <c r="CI23" s="92">
        <f t="shared" si="56"/>
        <v>0.15912000000000001</v>
      </c>
      <c r="CJ23" s="93">
        <f t="shared" si="57"/>
        <v>0.09</v>
      </c>
      <c r="CK23" s="127">
        <f t="shared" si="84"/>
        <v>0.42444429147642349</v>
      </c>
      <c r="CL23" s="91">
        <f t="shared" si="58"/>
        <v>0.15</v>
      </c>
      <c r="CM23" s="92">
        <f t="shared" si="59"/>
        <v>0</v>
      </c>
      <c r="CN23" s="92">
        <f t="shared" si="60"/>
        <v>0</v>
      </c>
      <c r="CO23" s="92">
        <f t="shared" si="61"/>
        <v>0</v>
      </c>
      <c r="CP23" s="92">
        <f t="shared" si="62"/>
        <v>0</v>
      </c>
      <c r="CQ23" s="92">
        <f t="shared" si="63"/>
        <v>0</v>
      </c>
      <c r="CR23" s="127">
        <f t="shared" si="85"/>
        <v>0.15</v>
      </c>
      <c r="CS23" s="92">
        <f t="shared" si="86"/>
        <v>0.58504281525767288</v>
      </c>
      <c r="CT23" s="92">
        <f t="shared" si="64"/>
        <v>8.0850428152576725</v>
      </c>
      <c r="CU23" s="93">
        <f t="shared" si="65"/>
        <v>0.92763887234417486</v>
      </c>
      <c r="CV23">
        <f t="shared" si="87"/>
        <v>26.520000000000003</v>
      </c>
    </row>
    <row r="24" spans="1:100" ht="14.5" customHeight="1" thickBot="1" x14ac:dyDescent="0.3">
      <c r="A24" s="524" t="s">
        <v>23</v>
      </c>
      <c r="B24" s="524"/>
      <c r="C24" s="524"/>
      <c r="K24">
        <v>20</v>
      </c>
      <c r="L24" s="91">
        <f t="shared" si="0"/>
        <v>27.6</v>
      </c>
      <c r="M24" s="93">
        <f t="shared" si="1"/>
        <v>0.27173913043478259</v>
      </c>
      <c r="N24" s="122">
        <f t="shared" si="66"/>
        <v>1.1659944014635544E-4</v>
      </c>
      <c r="O24" s="97">
        <f t="shared" si="67"/>
        <v>1.0493949613171991E-4</v>
      </c>
      <c r="P24" s="123">
        <f t="shared" si="68"/>
        <v>9.5399541937927164E-5</v>
      </c>
      <c r="Q24" s="127">
        <f t="shared" si="69"/>
        <v>0.352112676056338</v>
      </c>
      <c r="R24" s="91">
        <f t="shared" si="70"/>
        <v>0.77173913043478259</v>
      </c>
      <c r="S24" s="92">
        <f t="shared" si="2"/>
        <v>0.21596244131455403</v>
      </c>
      <c r="T24" s="92">
        <f t="shared" si="71"/>
        <v>0.87972035109205959</v>
      </c>
      <c r="U24" s="92" t="e">
        <f t="shared" si="3"/>
        <v>#DIV/0!</v>
      </c>
      <c r="V24" s="118">
        <f t="shared" si="72"/>
        <v>0.4594347159899107</v>
      </c>
      <c r="W24" s="103">
        <f t="shared" si="73"/>
        <v>0.37045661452763684</v>
      </c>
      <c r="X24" s="117">
        <f t="shared" si="4"/>
        <v>0.77173913043478259</v>
      </c>
      <c r="Y24" s="103">
        <f t="shared" si="5"/>
        <v>0.21596244131455403</v>
      </c>
      <c r="Z24" s="103">
        <f t="shared" si="6"/>
        <v>0.62320756990940274</v>
      </c>
      <c r="AA24" s="118">
        <f t="shared" si="7"/>
        <v>0.58786162099956341</v>
      </c>
      <c r="AB24" s="117">
        <f t="shared" si="8"/>
        <v>0</v>
      </c>
      <c r="AC24" s="103">
        <f t="shared" si="9"/>
        <v>0</v>
      </c>
      <c r="AD24" s="103" t="e">
        <f t="shared" si="10"/>
        <v>#DIV/0!</v>
      </c>
      <c r="AE24" s="118">
        <f t="shared" si="11"/>
        <v>0</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163">
        <f t="shared" si="28"/>
        <v>6.2201163973085824E-2</v>
      </c>
      <c r="AW24" s="143">
        <f t="shared" si="74"/>
        <v>0</v>
      </c>
      <c r="AX24" s="154">
        <f t="shared" si="29"/>
        <v>0</v>
      </c>
      <c r="AY24" s="155">
        <v>20</v>
      </c>
      <c r="AZ24" s="156">
        <f t="shared" si="30"/>
        <v>0</v>
      </c>
      <c r="BA24" s="157">
        <f t="shared" si="31"/>
        <v>136.71073341858863</v>
      </c>
      <c r="BB24" s="158">
        <f t="shared" si="32"/>
        <v>5.0446260631459204E-2</v>
      </c>
      <c r="BC24" s="157">
        <f t="shared" si="75"/>
        <v>142.6667802399482</v>
      </c>
      <c r="BD24" s="159">
        <f t="shared" si="33"/>
        <v>5.2644041908540884E-2</v>
      </c>
      <c r="BE24" s="24" t="e">
        <f t="shared" si="34"/>
        <v>#DIV/0!</v>
      </c>
      <c r="BF24" s="27" t="e">
        <f t="shared" si="35"/>
        <v>#DIV/0!</v>
      </c>
      <c r="BG24" s="24" t="e">
        <f t="shared" si="36"/>
        <v>#DIV/0!</v>
      </c>
      <c r="BH24" s="61" t="e">
        <f t="shared" si="37"/>
        <v>#DIV/0!</v>
      </c>
      <c r="BI24" s="24">
        <f t="shared" si="38"/>
        <v>0</v>
      </c>
      <c r="BJ24" s="27" t="e">
        <f t="shared" si="39"/>
        <v>#DIV/0!</v>
      </c>
      <c r="BK24" s="24">
        <f t="shared" si="40"/>
        <v>0</v>
      </c>
      <c r="BL24" s="27">
        <f t="shared" si="41"/>
        <v>0</v>
      </c>
      <c r="BM24" s="24">
        <f t="shared" si="42"/>
        <v>0</v>
      </c>
      <c r="BN24" s="27">
        <f t="shared" si="43"/>
        <v>0</v>
      </c>
      <c r="BO24" s="24">
        <f t="shared" si="44"/>
        <v>0</v>
      </c>
      <c r="BP24" s="27">
        <f t="shared" si="45"/>
        <v>0</v>
      </c>
      <c r="BQ24" s="147">
        <f t="shared" si="46"/>
        <v>0</v>
      </c>
      <c r="BR24" s="27">
        <f t="shared" si="47"/>
        <v>0</v>
      </c>
      <c r="BS24" s="91" t="e">
        <f t="shared" si="76"/>
        <v>#DIV/0!</v>
      </c>
      <c r="BT24" s="101" t="e">
        <f t="shared" si="77"/>
        <v>#DIV/0!</v>
      </c>
      <c r="BU24" s="206" t="e">
        <f t="shared" si="78"/>
        <v>#DIV/0!</v>
      </c>
      <c r="BV24" s="97" t="e">
        <f t="shared" si="79"/>
        <v>#DIV/0!</v>
      </c>
      <c r="BW24" s="123" t="e">
        <f t="shared" si="80"/>
        <v>#DIV/0!</v>
      </c>
      <c r="BX24" s="91">
        <f t="shared" si="81"/>
        <v>5.1689508506616256E-3</v>
      </c>
      <c r="BY24" s="92">
        <f t="shared" si="48"/>
        <v>5.0000000000000001E-3</v>
      </c>
      <c r="BZ24" s="233">
        <f t="shared" si="49"/>
        <v>0</v>
      </c>
      <c r="CA24" s="92">
        <f t="shared" si="50"/>
        <v>0</v>
      </c>
      <c r="CB24" s="92">
        <f t="shared" si="51"/>
        <v>0</v>
      </c>
      <c r="CC24" s="92">
        <f t="shared" si="52"/>
        <v>0</v>
      </c>
      <c r="CD24" s="92">
        <f t="shared" si="53"/>
        <v>0</v>
      </c>
      <c r="CE24" s="127">
        <f t="shared" si="82"/>
        <v>1.0168950850661626E-2</v>
      </c>
      <c r="CF24" s="91">
        <f t="shared" si="83"/>
        <v>2.1414224952741017E-2</v>
      </c>
      <c r="CG24" s="92">
        <f t="shared" si="54"/>
        <v>0.14794239130434783</v>
      </c>
      <c r="CH24" s="92">
        <f t="shared" si="55"/>
        <v>5.7880434782608698E-3</v>
      </c>
      <c r="CI24" s="92">
        <f t="shared" si="56"/>
        <v>0.16560000000000002</v>
      </c>
      <c r="CJ24" s="93">
        <f t="shared" si="57"/>
        <v>0.09</v>
      </c>
      <c r="CK24" s="127">
        <f t="shared" si="84"/>
        <v>0.4307446597353497</v>
      </c>
      <c r="CL24" s="91">
        <f t="shared" si="58"/>
        <v>0.15</v>
      </c>
      <c r="CM24" s="92">
        <f t="shared" si="59"/>
        <v>0</v>
      </c>
      <c r="CN24" s="92">
        <f t="shared" si="60"/>
        <v>0</v>
      </c>
      <c r="CO24" s="92">
        <f t="shared" si="61"/>
        <v>0</v>
      </c>
      <c r="CP24" s="92">
        <f t="shared" si="62"/>
        <v>0</v>
      </c>
      <c r="CQ24" s="92">
        <f t="shared" si="63"/>
        <v>0</v>
      </c>
      <c r="CR24" s="127">
        <f t="shared" si="85"/>
        <v>0.15</v>
      </c>
      <c r="CS24" s="92">
        <f t="shared" si="86"/>
        <v>0.59091361058601133</v>
      </c>
      <c r="CT24" s="92">
        <f t="shared" si="64"/>
        <v>8.0909136105860107</v>
      </c>
      <c r="CU24" s="93">
        <f t="shared" si="65"/>
        <v>0.92696577432085425</v>
      </c>
      <c r="CV24">
        <f t="shared" si="87"/>
        <v>27.6</v>
      </c>
    </row>
    <row r="25" spans="1:100" ht="15.75" thickBot="1" x14ac:dyDescent="0.3">
      <c r="A25" s="12" t="s">
        <v>65</v>
      </c>
      <c r="B25" s="176">
        <f>Lm_FlyBB</f>
        <v>1.4999999999999999E-4</v>
      </c>
      <c r="C25" s="12" t="s">
        <v>6</v>
      </c>
      <c r="K25">
        <v>21</v>
      </c>
      <c r="L25" s="91">
        <f t="shared" si="0"/>
        <v>28.68</v>
      </c>
      <c r="M25" s="93">
        <f t="shared" si="1"/>
        <v>0.2615062761506276</v>
      </c>
      <c r="N25" s="122">
        <f t="shared" si="66"/>
        <v>1.1975413932831513E-4</v>
      </c>
      <c r="O25" s="97">
        <f t="shared" si="67"/>
        <v>1.0777872539548363E-4</v>
      </c>
      <c r="P25" s="123">
        <f t="shared" si="68"/>
        <v>9.7980659450439656E-5</v>
      </c>
      <c r="Q25" s="127">
        <f t="shared" si="69"/>
        <v>0.34340659340659341</v>
      </c>
      <c r="R25" s="91">
        <f t="shared" si="70"/>
        <v>0.7615062761506276</v>
      </c>
      <c r="S25" s="92">
        <f t="shared" si="2"/>
        <v>0.21886446886446889</v>
      </c>
      <c r="T25" s="92">
        <f t="shared" si="71"/>
        <v>0.87093851058286209</v>
      </c>
      <c r="U25" s="92" t="e">
        <f t="shared" si="3"/>
        <v>#DIV/0!</v>
      </c>
      <c r="V25" s="118">
        <f t="shared" si="72"/>
        <v>0.44778285203423984</v>
      </c>
      <c r="W25" s="103">
        <f t="shared" si="73"/>
        <v>0.3634885831903798</v>
      </c>
      <c r="X25" s="117">
        <f t="shared" si="4"/>
        <v>0.7615062761506276</v>
      </c>
      <c r="Y25" s="103">
        <f t="shared" si="5"/>
        <v>0.21886446886446889</v>
      </c>
      <c r="Z25" s="103">
        <f t="shared" si="6"/>
        <v>0.61917213332413079</v>
      </c>
      <c r="AA25" s="118">
        <f t="shared" si="7"/>
        <v>0.57436208842227388</v>
      </c>
      <c r="AB25" s="117">
        <f t="shared" si="8"/>
        <v>0</v>
      </c>
      <c r="AC25" s="103">
        <f t="shared" si="9"/>
        <v>0</v>
      </c>
      <c r="AD25" s="103" t="e">
        <f t="shared" si="10"/>
        <v>#DIV/0!</v>
      </c>
      <c r="AE25" s="118">
        <f t="shared" si="11"/>
        <v>0</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163">
        <f t="shared" si="28"/>
        <v>6.3037001401056697E-2</v>
      </c>
      <c r="AW25" s="143">
        <f t="shared" si="74"/>
        <v>0</v>
      </c>
      <c r="AX25" s="154">
        <f t="shared" si="29"/>
        <v>0</v>
      </c>
      <c r="AY25" s="155">
        <v>21</v>
      </c>
      <c r="AZ25" s="156">
        <f t="shared" si="30"/>
        <v>0</v>
      </c>
      <c r="BA25" s="157">
        <f t="shared" si="31"/>
        <v>141.65200449234504</v>
      </c>
      <c r="BB25" s="158">
        <f t="shared" si="32"/>
        <v>5.2269589657675315E-2</v>
      </c>
      <c r="BC25" s="157">
        <f t="shared" si="75"/>
        <v>147.4292188662761</v>
      </c>
      <c r="BD25" s="159">
        <f t="shared" si="33"/>
        <v>5.4401381761655883E-2</v>
      </c>
      <c r="BE25" s="24" t="e">
        <f t="shared" si="34"/>
        <v>#DIV/0!</v>
      </c>
      <c r="BF25" s="27" t="e">
        <f t="shared" si="35"/>
        <v>#DIV/0!</v>
      </c>
      <c r="BG25" s="24" t="e">
        <f t="shared" si="36"/>
        <v>#DIV/0!</v>
      </c>
      <c r="BH25" s="61" t="e">
        <f t="shared" si="37"/>
        <v>#DIV/0!</v>
      </c>
      <c r="BI25" s="24">
        <f t="shared" si="38"/>
        <v>0</v>
      </c>
      <c r="BJ25" s="27" t="e">
        <f t="shared" si="39"/>
        <v>#DIV/0!</v>
      </c>
      <c r="BK25" s="24">
        <f t="shared" si="40"/>
        <v>0</v>
      </c>
      <c r="BL25" s="27">
        <f t="shared" si="41"/>
        <v>0</v>
      </c>
      <c r="BM25" s="24">
        <f t="shared" si="42"/>
        <v>0</v>
      </c>
      <c r="BN25" s="27">
        <f t="shared" si="43"/>
        <v>0</v>
      </c>
      <c r="BO25" s="24">
        <f t="shared" si="44"/>
        <v>0</v>
      </c>
      <c r="BP25" s="27">
        <f t="shared" si="45"/>
        <v>0</v>
      </c>
      <c r="BQ25" s="147">
        <f t="shared" si="46"/>
        <v>0</v>
      </c>
      <c r="BR25" s="27">
        <f t="shared" si="47"/>
        <v>0</v>
      </c>
      <c r="BS25" s="91" t="e">
        <f t="shared" si="76"/>
        <v>#DIV/0!</v>
      </c>
      <c r="BT25" s="101" t="e">
        <f t="shared" si="77"/>
        <v>#DIV/0!</v>
      </c>
      <c r="BU25" s="206" t="e">
        <f t="shared" si="78"/>
        <v>#DIV/0!</v>
      </c>
      <c r="BV25" s="97" t="e">
        <f t="shared" si="79"/>
        <v>#DIV/0!</v>
      </c>
      <c r="BW25" s="123" t="e">
        <f t="shared" si="80"/>
        <v>#DIV/0!</v>
      </c>
      <c r="BX25" s="91">
        <f t="shared" si="81"/>
        <v>4.7869872726317812E-3</v>
      </c>
      <c r="BY25" s="92">
        <f t="shared" si="48"/>
        <v>5.0000000000000001E-3</v>
      </c>
      <c r="BZ25" s="233">
        <f t="shared" si="49"/>
        <v>0</v>
      </c>
      <c r="CA25" s="92">
        <f t="shared" si="50"/>
        <v>0</v>
      </c>
      <c r="CB25" s="92">
        <f t="shared" si="51"/>
        <v>0</v>
      </c>
      <c r="CC25" s="92">
        <f t="shared" si="52"/>
        <v>0</v>
      </c>
      <c r="CD25" s="92">
        <f t="shared" si="53"/>
        <v>0</v>
      </c>
      <c r="CE25" s="127">
        <f t="shared" si="82"/>
        <v>9.7869872726317822E-3</v>
      </c>
      <c r="CF25" s="91">
        <f t="shared" si="83"/>
        <v>1.9831804415188805E-2</v>
      </c>
      <c r="CG25" s="92">
        <f t="shared" si="54"/>
        <v>0.14968167364016741</v>
      </c>
      <c r="CH25" s="92">
        <f t="shared" si="55"/>
        <v>5.7112970711297078E-3</v>
      </c>
      <c r="CI25" s="92">
        <f t="shared" si="56"/>
        <v>0.17208000000000001</v>
      </c>
      <c r="CJ25" s="93">
        <f t="shared" si="57"/>
        <v>0.09</v>
      </c>
      <c r="CK25" s="127">
        <f t="shared" si="84"/>
        <v>0.43730477512648591</v>
      </c>
      <c r="CL25" s="91">
        <f t="shared" si="58"/>
        <v>0.15</v>
      </c>
      <c r="CM25" s="92">
        <f t="shared" si="59"/>
        <v>0</v>
      </c>
      <c r="CN25" s="92">
        <f t="shared" si="60"/>
        <v>0</v>
      </c>
      <c r="CO25" s="92">
        <f t="shared" si="61"/>
        <v>0</v>
      </c>
      <c r="CP25" s="92">
        <f t="shared" si="62"/>
        <v>0</v>
      </c>
      <c r="CQ25" s="92">
        <f t="shared" si="63"/>
        <v>0</v>
      </c>
      <c r="CR25" s="127">
        <f t="shared" si="85"/>
        <v>0.15</v>
      </c>
      <c r="CS25" s="92">
        <f t="shared" si="86"/>
        <v>0.59709176239911776</v>
      </c>
      <c r="CT25" s="92">
        <f t="shared" si="64"/>
        <v>8.097091762399117</v>
      </c>
      <c r="CU25" s="93">
        <f t="shared" si="65"/>
        <v>0.92625849132995342</v>
      </c>
      <c r="CV25">
        <f t="shared" si="87"/>
        <v>28.68</v>
      </c>
    </row>
    <row r="26" spans="1:100" ht="15.75" thickBot="1" x14ac:dyDescent="0.3">
      <c r="A26" s="12" t="s">
        <v>339</v>
      </c>
      <c r="B26" s="12">
        <f>MAX(T4:T54)</f>
        <v>1.7976190476190477</v>
      </c>
      <c r="C26" s="12" t="s">
        <v>6</v>
      </c>
      <c r="K26">
        <v>22</v>
      </c>
      <c r="L26" s="91">
        <f t="shared" si="0"/>
        <v>29.76</v>
      </c>
      <c r="M26" s="93">
        <f t="shared" si="1"/>
        <v>0.25201612903225806</v>
      </c>
      <c r="N26" s="122">
        <f t="shared" si="66"/>
        <v>1.2279571077521178E-4</v>
      </c>
      <c r="O26" s="97">
        <f t="shared" si="67"/>
        <v>1.1051613969769059E-4</v>
      </c>
      <c r="P26" s="123">
        <f t="shared" si="68"/>
        <v>1.0046921790699146E-4</v>
      </c>
      <c r="Q26" s="127">
        <f t="shared" si="69"/>
        <v>0.33512064343163533</v>
      </c>
      <c r="R26" s="91">
        <f t="shared" si="70"/>
        <v>0.75201612903225823</v>
      </c>
      <c r="S26" s="92">
        <f t="shared" si="2"/>
        <v>0.2216264521894549</v>
      </c>
      <c r="T26" s="92">
        <f t="shared" si="71"/>
        <v>0.86282935512698566</v>
      </c>
      <c r="U26" s="92" t="e">
        <f t="shared" si="3"/>
        <v>#DIV/0!</v>
      </c>
      <c r="V26" s="118">
        <f t="shared" si="72"/>
        <v>0.43691178331030084</v>
      </c>
      <c r="W26" s="103">
        <f t="shared" si="73"/>
        <v>0.35690303599574991</v>
      </c>
      <c r="X26" s="117">
        <f t="shared" si="4"/>
        <v>0.75201612903225812</v>
      </c>
      <c r="Y26" s="103">
        <f t="shared" si="5"/>
        <v>0.2216264521894549</v>
      </c>
      <c r="Z26" s="103">
        <f t="shared" si="6"/>
        <v>0.61541006027562495</v>
      </c>
      <c r="AA26" s="118">
        <f t="shared" si="7"/>
        <v>0.56171902079657399</v>
      </c>
      <c r="AB26" s="117">
        <f t="shared" si="8"/>
        <v>0</v>
      </c>
      <c r="AC26" s="103">
        <f t="shared" si="9"/>
        <v>0</v>
      </c>
      <c r="AD26" s="103" t="e">
        <f t="shared" si="10"/>
        <v>#DIV/0!</v>
      </c>
      <c r="AE26" s="118">
        <f t="shared" si="11"/>
        <v>0</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163">
        <f t="shared" si="28"/>
        <v>6.3832503510787689E-2</v>
      </c>
      <c r="AW26" s="143">
        <f t="shared" si="74"/>
        <v>0</v>
      </c>
      <c r="AX26" s="154">
        <f t="shared" si="29"/>
        <v>0</v>
      </c>
      <c r="AY26" s="155">
        <v>22</v>
      </c>
      <c r="AZ26" s="156">
        <f t="shared" si="30"/>
        <v>0</v>
      </c>
      <c r="BA26" s="157">
        <f t="shared" si="31"/>
        <v>146.4569436882426</v>
      </c>
      <c r="BB26" s="158">
        <f t="shared" si="32"/>
        <v>5.4042612220961524E-2</v>
      </c>
      <c r="BC26" s="157">
        <f t="shared" si="75"/>
        <v>152.04829009559748</v>
      </c>
      <c r="BD26" s="159">
        <f t="shared" si="33"/>
        <v>5.6105819045275465E-2</v>
      </c>
      <c r="BE26" s="24" t="e">
        <f t="shared" si="34"/>
        <v>#DIV/0!</v>
      </c>
      <c r="BF26" s="27" t="e">
        <f t="shared" si="35"/>
        <v>#DIV/0!</v>
      </c>
      <c r="BG26" s="24" t="e">
        <f t="shared" si="36"/>
        <v>#DIV/0!</v>
      </c>
      <c r="BH26" s="61" t="e">
        <f t="shared" si="37"/>
        <v>#DIV/0!</v>
      </c>
      <c r="BI26" s="24">
        <f t="shared" si="38"/>
        <v>0</v>
      </c>
      <c r="BJ26" s="27" t="e">
        <f t="shared" si="39"/>
        <v>#DIV/0!</v>
      </c>
      <c r="BK26" s="24">
        <f t="shared" si="40"/>
        <v>0</v>
      </c>
      <c r="BL26" s="27">
        <f t="shared" si="41"/>
        <v>0</v>
      </c>
      <c r="BM26" s="24">
        <f t="shared" si="42"/>
        <v>0</v>
      </c>
      <c r="BN26" s="27">
        <f t="shared" si="43"/>
        <v>0</v>
      </c>
      <c r="BO26" s="24">
        <f t="shared" si="44"/>
        <v>0</v>
      </c>
      <c r="BP26" s="27">
        <f t="shared" si="45"/>
        <v>0</v>
      </c>
      <c r="BQ26" s="147">
        <f t="shared" si="46"/>
        <v>0</v>
      </c>
      <c r="BR26" s="27">
        <f t="shared" si="47"/>
        <v>0</v>
      </c>
      <c r="BS26" s="91" t="e">
        <f t="shared" si="76"/>
        <v>#DIV/0!</v>
      </c>
      <c r="BT26" s="101" t="e">
        <f t="shared" si="77"/>
        <v>#DIV/0!</v>
      </c>
      <c r="BU26" s="206" t="e">
        <f t="shared" si="78"/>
        <v>#DIV/0!</v>
      </c>
      <c r="BV26" s="97" t="e">
        <f t="shared" si="79"/>
        <v>#DIV/0!</v>
      </c>
      <c r="BW26" s="123" t="e">
        <f t="shared" si="80"/>
        <v>#DIV/0!</v>
      </c>
      <c r="BX26" s="91">
        <f t="shared" si="81"/>
        <v>4.4458490504682624E-3</v>
      </c>
      <c r="BY26" s="92">
        <f t="shared" si="48"/>
        <v>5.0000000000000001E-3</v>
      </c>
      <c r="BZ26" s="233">
        <f t="shared" si="49"/>
        <v>0</v>
      </c>
      <c r="CA26" s="92">
        <f t="shared" si="50"/>
        <v>0</v>
      </c>
      <c r="CB26" s="92">
        <f t="shared" si="51"/>
        <v>0</v>
      </c>
      <c r="CC26" s="92">
        <f t="shared" si="52"/>
        <v>0</v>
      </c>
      <c r="CD26" s="92">
        <f t="shared" si="53"/>
        <v>0</v>
      </c>
      <c r="CE26" s="127">
        <f t="shared" si="82"/>
        <v>9.4458490504682625E-3</v>
      </c>
      <c r="CF26" s="91">
        <f t="shared" si="83"/>
        <v>1.8418517494797084E-2</v>
      </c>
      <c r="CG26" s="92">
        <f t="shared" si="54"/>
        <v>0.15147108870967749</v>
      </c>
      <c r="CH26" s="92">
        <f t="shared" si="55"/>
        <v>5.6401209677419371E-3</v>
      </c>
      <c r="CI26" s="92">
        <f t="shared" si="56"/>
        <v>0.17856000000000002</v>
      </c>
      <c r="CJ26" s="93">
        <f t="shared" si="57"/>
        <v>0.09</v>
      </c>
      <c r="CK26" s="127">
        <f t="shared" si="84"/>
        <v>0.44408972717221651</v>
      </c>
      <c r="CL26" s="91">
        <f t="shared" si="58"/>
        <v>0.15</v>
      </c>
      <c r="CM26" s="92">
        <f t="shared" si="59"/>
        <v>0</v>
      </c>
      <c r="CN26" s="92">
        <f t="shared" si="60"/>
        <v>0</v>
      </c>
      <c r="CO26" s="92">
        <f t="shared" si="61"/>
        <v>0</v>
      </c>
      <c r="CP26" s="92">
        <f t="shared" si="62"/>
        <v>0</v>
      </c>
      <c r="CQ26" s="92">
        <f t="shared" si="63"/>
        <v>0</v>
      </c>
      <c r="CR26" s="127">
        <f t="shared" si="85"/>
        <v>0.15</v>
      </c>
      <c r="CS26" s="92">
        <f t="shared" si="86"/>
        <v>0.60353557622268483</v>
      </c>
      <c r="CT26" s="92">
        <f t="shared" si="64"/>
        <v>8.1035355762226846</v>
      </c>
      <c r="CU26" s="93">
        <f t="shared" si="65"/>
        <v>0.92552194402729926</v>
      </c>
      <c r="CV26">
        <f t="shared" si="87"/>
        <v>29.76</v>
      </c>
    </row>
    <row r="27" spans="1:100" ht="15.75" thickBot="1" x14ac:dyDescent="0.3">
      <c r="A27" s="12" t="s">
        <v>338</v>
      </c>
      <c r="B27" s="12">
        <f>MAX(S4:S54)</f>
        <v>0.26666666666666672</v>
      </c>
      <c r="C27" s="12" t="s">
        <v>6</v>
      </c>
      <c r="K27">
        <v>23</v>
      </c>
      <c r="L27" s="91">
        <f t="shared" si="0"/>
        <v>30.840000000000003</v>
      </c>
      <c r="M27" s="93">
        <f t="shared" si="1"/>
        <v>0.24319066147859919</v>
      </c>
      <c r="N27" s="122">
        <f t="shared" si="66"/>
        <v>1.2572945125164089E-4</v>
      </c>
      <c r="O27" s="97">
        <f t="shared" si="67"/>
        <v>1.131565061264768E-4</v>
      </c>
      <c r="P27" s="123">
        <f t="shared" si="68"/>
        <v>1.0286955102406983E-4</v>
      </c>
      <c r="Q27" s="127">
        <f t="shared" si="69"/>
        <v>0.32722513089005234</v>
      </c>
      <c r="R27" s="91">
        <f t="shared" si="70"/>
        <v>0.74319066147859913</v>
      </c>
      <c r="S27" s="92">
        <f t="shared" si="2"/>
        <v>0.22425828970331593</v>
      </c>
      <c r="T27" s="92">
        <f t="shared" si="71"/>
        <v>0.85531980633025706</v>
      </c>
      <c r="U27" s="92" t="e">
        <f t="shared" si="3"/>
        <v>#DIV/0!</v>
      </c>
      <c r="V27" s="118">
        <f t="shared" si="72"/>
        <v>0.42674163507652174</v>
      </c>
      <c r="W27" s="103">
        <f t="shared" si="73"/>
        <v>0.35066611652308899</v>
      </c>
      <c r="X27" s="117">
        <f t="shared" si="4"/>
        <v>0.74319066147859925</v>
      </c>
      <c r="Y27" s="103">
        <f t="shared" si="5"/>
        <v>0.22425828970331593</v>
      </c>
      <c r="Z27" s="103">
        <f t="shared" si="6"/>
        <v>0.61189453168793928</v>
      </c>
      <c r="AA27" s="118">
        <f t="shared" si="7"/>
        <v>0.54984757825146224</v>
      </c>
      <c r="AB27" s="117">
        <f t="shared" si="8"/>
        <v>0</v>
      </c>
      <c r="AC27" s="103">
        <f t="shared" si="9"/>
        <v>0</v>
      </c>
      <c r="AD27" s="103" t="e">
        <f t="shared" si="10"/>
        <v>#DIV/0!</v>
      </c>
      <c r="AE27" s="118">
        <f t="shared" si="11"/>
        <v>0</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163">
        <f t="shared" si="28"/>
        <v>6.4590521227913575E-2</v>
      </c>
      <c r="AW27" s="143">
        <f t="shared" si="74"/>
        <v>0</v>
      </c>
      <c r="AX27" s="154">
        <f t="shared" si="29"/>
        <v>0</v>
      </c>
      <c r="AY27" s="155">
        <v>23</v>
      </c>
      <c r="AZ27" s="156">
        <f t="shared" si="30"/>
        <v>0</v>
      </c>
      <c r="BA27" s="157">
        <f t="shared" si="31"/>
        <v>151.12891040508543</v>
      </c>
      <c r="BB27" s="158">
        <f t="shared" si="32"/>
        <v>5.576656793947652E-2</v>
      </c>
      <c r="BC27" s="157">
        <f t="shared" si="75"/>
        <v>156.52861501556555</v>
      </c>
      <c r="BD27" s="159">
        <f t="shared" si="33"/>
        <v>5.7759058940743686E-2</v>
      </c>
      <c r="BE27" s="24" t="e">
        <f t="shared" si="34"/>
        <v>#DIV/0!</v>
      </c>
      <c r="BF27" s="27" t="e">
        <f t="shared" si="35"/>
        <v>#DIV/0!</v>
      </c>
      <c r="BG27" s="24" t="e">
        <f t="shared" si="36"/>
        <v>#DIV/0!</v>
      </c>
      <c r="BH27" s="61" t="e">
        <f t="shared" si="37"/>
        <v>#DIV/0!</v>
      </c>
      <c r="BI27" s="24">
        <f t="shared" si="38"/>
        <v>0</v>
      </c>
      <c r="BJ27" s="27" t="e">
        <f t="shared" si="39"/>
        <v>#DIV/0!</v>
      </c>
      <c r="BK27" s="24">
        <f t="shared" si="40"/>
        <v>0</v>
      </c>
      <c r="BL27" s="27">
        <f t="shared" si="41"/>
        <v>0</v>
      </c>
      <c r="BM27" s="24">
        <f t="shared" si="42"/>
        <v>0</v>
      </c>
      <c r="BN27" s="27">
        <f t="shared" si="43"/>
        <v>0</v>
      </c>
      <c r="BO27" s="24">
        <f t="shared" si="44"/>
        <v>0</v>
      </c>
      <c r="BP27" s="27">
        <f t="shared" si="45"/>
        <v>0</v>
      </c>
      <c r="BQ27" s="147">
        <f t="shared" si="46"/>
        <v>0</v>
      </c>
      <c r="BR27" s="27">
        <f t="shared" si="47"/>
        <v>0</v>
      </c>
      <c r="BS27" s="91" t="e">
        <f t="shared" si="76"/>
        <v>#DIV/0!</v>
      </c>
      <c r="BT27" s="101" t="e">
        <f t="shared" si="77"/>
        <v>#DIV/0!</v>
      </c>
      <c r="BU27" s="206" t="e">
        <f t="shared" si="78"/>
        <v>#DIV/0!</v>
      </c>
      <c r="BV27" s="97" t="e">
        <f t="shared" si="79"/>
        <v>#DIV/0!</v>
      </c>
      <c r="BW27" s="123" t="e">
        <f t="shared" si="80"/>
        <v>#DIV/0!</v>
      </c>
      <c r="BX27" s="91">
        <f t="shared" si="81"/>
        <v>4.1399188481279041E-3</v>
      </c>
      <c r="BY27" s="92">
        <f t="shared" si="48"/>
        <v>5.0000000000000001E-3</v>
      </c>
      <c r="BZ27" s="233">
        <f t="shared" si="49"/>
        <v>0</v>
      </c>
      <c r="CA27" s="92">
        <f t="shared" si="50"/>
        <v>0</v>
      </c>
      <c r="CB27" s="92">
        <f t="shared" si="51"/>
        <v>0</v>
      </c>
      <c r="CC27" s="92">
        <f t="shared" si="52"/>
        <v>0</v>
      </c>
      <c r="CD27" s="92">
        <f t="shared" si="53"/>
        <v>0</v>
      </c>
      <c r="CE27" s="127">
        <f t="shared" si="82"/>
        <v>9.1399188481279051E-3</v>
      </c>
      <c r="CF27" s="91">
        <f t="shared" si="83"/>
        <v>1.71510923708156E-2</v>
      </c>
      <c r="CG27" s="92">
        <f t="shared" si="54"/>
        <v>0.15330536964980548</v>
      </c>
      <c r="CH27" s="92">
        <f t="shared" si="55"/>
        <v>5.5739299610894936E-3</v>
      </c>
      <c r="CI27" s="92">
        <f t="shared" si="56"/>
        <v>0.18504000000000001</v>
      </c>
      <c r="CJ27" s="93">
        <f t="shared" si="57"/>
        <v>0.09</v>
      </c>
      <c r="CK27" s="127">
        <f t="shared" si="84"/>
        <v>0.45107039198171062</v>
      </c>
      <c r="CL27" s="91">
        <f t="shared" si="58"/>
        <v>0.15</v>
      </c>
      <c r="CM27" s="92">
        <f t="shared" si="59"/>
        <v>0</v>
      </c>
      <c r="CN27" s="92">
        <f t="shared" si="60"/>
        <v>0</v>
      </c>
      <c r="CO27" s="92">
        <f t="shared" si="61"/>
        <v>0</v>
      </c>
      <c r="CP27" s="92">
        <f t="shared" si="62"/>
        <v>0</v>
      </c>
      <c r="CQ27" s="92">
        <f t="shared" si="63"/>
        <v>0</v>
      </c>
      <c r="CR27" s="127">
        <f t="shared" si="85"/>
        <v>0.15</v>
      </c>
      <c r="CS27" s="92">
        <f t="shared" si="86"/>
        <v>0.61021031082983856</v>
      </c>
      <c r="CT27" s="92">
        <f t="shared" si="64"/>
        <v>8.1102103108298387</v>
      </c>
      <c r="CU27" s="93">
        <f t="shared" si="65"/>
        <v>0.92476023587020872</v>
      </c>
      <c r="CV27">
        <f t="shared" si="87"/>
        <v>30.840000000000003</v>
      </c>
    </row>
    <row r="28" spans="1:100" ht="15.75" thickBot="1" x14ac:dyDescent="0.3">
      <c r="A28" s="12" t="s">
        <v>340</v>
      </c>
      <c r="B28" s="21">
        <f>MAX(V4:V54)</f>
        <v>1.4792024535198292</v>
      </c>
      <c r="C28" s="12" t="s">
        <v>6</v>
      </c>
      <c r="K28">
        <v>24</v>
      </c>
      <c r="L28" s="91">
        <f t="shared" si="0"/>
        <v>31.92</v>
      </c>
      <c r="M28" s="93">
        <f t="shared" si="1"/>
        <v>0.23496240601503759</v>
      </c>
      <c r="N28" s="122">
        <f t="shared" si="66"/>
        <v>1.2856041263757065E-4</v>
      </c>
      <c r="O28" s="97">
        <f t="shared" si="67"/>
        <v>1.1570437137381361E-4</v>
      </c>
      <c r="P28" s="123">
        <f t="shared" si="68"/>
        <v>1.0518579215801237E-4</v>
      </c>
      <c r="Q28" s="127">
        <f t="shared" si="69"/>
        <v>0.31969309462915602</v>
      </c>
      <c r="R28" s="91">
        <f t="shared" si="70"/>
        <v>0.73496240601503759</v>
      </c>
      <c r="S28" s="92">
        <f t="shared" si="2"/>
        <v>0.22676896845694802</v>
      </c>
      <c r="T28" s="92">
        <f t="shared" si="71"/>
        <v>0.84834689024351162</v>
      </c>
      <c r="U28" s="92" t="e">
        <f t="shared" si="3"/>
        <v>#DIV/0!</v>
      </c>
      <c r="V28" s="118">
        <f t="shared" si="72"/>
        <v>0.41720322520324687</v>
      </c>
      <c r="W28" s="103">
        <f t="shared" si="73"/>
        <v>0.3447480222997889</v>
      </c>
      <c r="X28" s="117">
        <f t="shared" si="4"/>
        <v>0.73496240601503771</v>
      </c>
      <c r="Y28" s="103">
        <f t="shared" si="5"/>
        <v>0.22676896845694799</v>
      </c>
      <c r="Z28" s="103">
        <f t="shared" si="6"/>
        <v>0.60860213130036034</v>
      </c>
      <c r="AA28" s="118">
        <f t="shared" si="7"/>
        <v>0.53867405567319937</v>
      </c>
      <c r="AB28" s="117">
        <f t="shared" si="8"/>
        <v>0</v>
      </c>
      <c r="AC28" s="103">
        <f t="shared" si="9"/>
        <v>0</v>
      </c>
      <c r="AD28" s="103" t="e">
        <f t="shared" si="10"/>
        <v>#DIV/0!</v>
      </c>
      <c r="AE28" s="118">
        <f t="shared" si="11"/>
        <v>0</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163">
        <f t="shared" si="28"/>
        <v>6.5313642988752307E-2</v>
      </c>
      <c r="AW28" s="143">
        <f t="shared" si="74"/>
        <v>0</v>
      </c>
      <c r="AX28" s="154">
        <f t="shared" si="29"/>
        <v>0</v>
      </c>
      <c r="AY28" s="155">
        <v>24</v>
      </c>
      <c r="AZ28" s="156">
        <f t="shared" si="30"/>
        <v>0</v>
      </c>
      <c r="BA28" s="157">
        <f t="shared" si="31"/>
        <v>155.6714487846782</v>
      </c>
      <c r="BB28" s="158">
        <f t="shared" si="32"/>
        <v>5.7442764601546258E-2</v>
      </c>
      <c r="BC28" s="157">
        <f t="shared" si="75"/>
        <v>160.87484254671554</v>
      </c>
      <c r="BD28" s="159">
        <f t="shared" si="33"/>
        <v>5.9362816899738033E-2</v>
      </c>
      <c r="BE28" s="24" t="e">
        <f t="shared" si="34"/>
        <v>#DIV/0!</v>
      </c>
      <c r="BF28" s="27" t="e">
        <f t="shared" si="35"/>
        <v>#DIV/0!</v>
      </c>
      <c r="BG28" s="24" t="e">
        <f t="shared" si="36"/>
        <v>#DIV/0!</v>
      </c>
      <c r="BH28" s="61" t="e">
        <f t="shared" si="37"/>
        <v>#DIV/0!</v>
      </c>
      <c r="BI28" s="24">
        <f t="shared" si="38"/>
        <v>0</v>
      </c>
      <c r="BJ28" s="27" t="e">
        <f t="shared" si="39"/>
        <v>#DIV/0!</v>
      </c>
      <c r="BK28" s="24">
        <f t="shared" si="40"/>
        <v>0</v>
      </c>
      <c r="BL28" s="27">
        <f t="shared" si="41"/>
        <v>0</v>
      </c>
      <c r="BM28" s="24">
        <f t="shared" si="42"/>
        <v>0</v>
      </c>
      <c r="BN28" s="27">
        <f t="shared" si="43"/>
        <v>0</v>
      </c>
      <c r="BO28" s="24">
        <f t="shared" si="44"/>
        <v>0</v>
      </c>
      <c r="BP28" s="27">
        <f t="shared" si="45"/>
        <v>0</v>
      </c>
      <c r="BQ28" s="147">
        <f t="shared" si="46"/>
        <v>0</v>
      </c>
      <c r="BR28" s="27">
        <f t="shared" si="47"/>
        <v>0</v>
      </c>
      <c r="BS28" s="91" t="e">
        <f t="shared" si="76"/>
        <v>#DIV/0!</v>
      </c>
      <c r="BT28" s="101" t="e">
        <f t="shared" si="77"/>
        <v>#DIV/0!</v>
      </c>
      <c r="BU28" s="206" t="e">
        <f t="shared" si="78"/>
        <v>#DIV/0!</v>
      </c>
      <c r="BV28" s="97" t="e">
        <f t="shared" si="79"/>
        <v>#DIV/0!</v>
      </c>
      <c r="BW28" s="123" t="e">
        <f t="shared" si="80"/>
        <v>#DIV/0!</v>
      </c>
      <c r="BX28" s="91">
        <f t="shared" si="81"/>
        <v>3.8645132568262768E-3</v>
      </c>
      <c r="BY28" s="92">
        <f t="shared" si="48"/>
        <v>5.0000000000000001E-3</v>
      </c>
      <c r="BZ28" s="233">
        <f t="shared" si="49"/>
        <v>0</v>
      </c>
      <c r="CA28" s="92">
        <f t="shared" si="50"/>
        <v>0</v>
      </c>
      <c r="CB28" s="92">
        <f t="shared" si="51"/>
        <v>0</v>
      </c>
      <c r="CC28" s="92">
        <f t="shared" si="52"/>
        <v>0</v>
      </c>
      <c r="CD28" s="92">
        <f t="shared" si="53"/>
        <v>0</v>
      </c>
      <c r="CE28" s="127">
        <f t="shared" si="82"/>
        <v>8.8645132568262765E-3</v>
      </c>
      <c r="CF28" s="91">
        <f t="shared" si="83"/>
        <v>1.6010126349708859E-2</v>
      </c>
      <c r="CG28" s="92">
        <f t="shared" si="54"/>
        <v>0.15517996240601506</v>
      </c>
      <c r="CH28" s="92">
        <f t="shared" si="55"/>
        <v>5.5122180451127826E-3</v>
      </c>
      <c r="CI28" s="92">
        <f t="shared" si="56"/>
        <v>0.19152</v>
      </c>
      <c r="CJ28" s="93">
        <f t="shared" si="57"/>
        <v>0.09</v>
      </c>
      <c r="CK28" s="127">
        <f t="shared" si="84"/>
        <v>0.45822230680083664</v>
      </c>
      <c r="CL28" s="91">
        <f t="shared" si="58"/>
        <v>0.15</v>
      </c>
      <c r="CM28" s="92">
        <f t="shared" si="59"/>
        <v>0</v>
      </c>
      <c r="CN28" s="92">
        <f t="shared" si="60"/>
        <v>0</v>
      </c>
      <c r="CO28" s="92">
        <f t="shared" si="61"/>
        <v>0</v>
      </c>
      <c r="CP28" s="92">
        <f t="shared" si="62"/>
        <v>0</v>
      </c>
      <c r="CQ28" s="92">
        <f t="shared" si="63"/>
        <v>0</v>
      </c>
      <c r="CR28" s="127">
        <f t="shared" si="85"/>
        <v>0.15</v>
      </c>
      <c r="CS28" s="92">
        <f t="shared" si="86"/>
        <v>0.61708682005766291</v>
      </c>
      <c r="CT28" s="92">
        <f t="shared" si="64"/>
        <v>8.1170868200576631</v>
      </c>
      <c r="CU28" s="93">
        <f t="shared" si="65"/>
        <v>0.9239768116643996</v>
      </c>
      <c r="CV28">
        <f t="shared" si="87"/>
        <v>31.92</v>
      </c>
    </row>
    <row r="29" spans="1:100" ht="15.75" thickBot="1" x14ac:dyDescent="0.3">
      <c r="A29" s="524" t="s">
        <v>350</v>
      </c>
      <c r="B29" s="524"/>
      <c r="C29" s="524"/>
      <c r="K29">
        <v>25</v>
      </c>
      <c r="L29" s="91">
        <f t="shared" si="0"/>
        <v>33</v>
      </c>
      <c r="M29" s="93">
        <f t="shared" si="1"/>
        <v>0.22727272727272727</v>
      </c>
      <c r="N29" s="122">
        <f t="shared" si="66"/>
        <v>1.3129340277777776E-4</v>
      </c>
      <c r="O29" s="97">
        <f t="shared" si="67"/>
        <v>1.181640625E-4</v>
      </c>
      <c r="P29" s="123">
        <f t="shared" si="68"/>
        <v>1.0742187499999999E-4</v>
      </c>
      <c r="Q29" s="127">
        <f t="shared" si="69"/>
        <v>0.3125</v>
      </c>
      <c r="R29" s="91">
        <f t="shared" si="70"/>
        <v>0.72727272727272729</v>
      </c>
      <c r="S29" s="92">
        <f t="shared" si="2"/>
        <v>0.22916666666666671</v>
      </c>
      <c r="T29" s="92">
        <f t="shared" si="71"/>
        <v>0.84185606060606066</v>
      </c>
      <c r="U29" s="92" t="e">
        <f t="shared" si="3"/>
        <v>#DIV/0!</v>
      </c>
      <c r="V29" s="118">
        <f t="shared" si="72"/>
        <v>0.40823632348263139</v>
      </c>
      <c r="W29" s="103">
        <f t="shared" si="73"/>
        <v>0.33912240157298984</v>
      </c>
      <c r="X29" s="117">
        <f t="shared" si="4"/>
        <v>0.72727272727272729</v>
      </c>
      <c r="Y29" s="103">
        <f t="shared" si="5"/>
        <v>0.22916666666666671</v>
      </c>
      <c r="Z29" s="103">
        <f t="shared" si="6"/>
        <v>0.60551232091787732</v>
      </c>
      <c r="AA29" s="118">
        <f t="shared" si="7"/>
        <v>0.52813409266464773</v>
      </c>
      <c r="AB29" s="117">
        <f t="shared" si="8"/>
        <v>0</v>
      </c>
      <c r="AC29" s="103">
        <f t="shared" si="9"/>
        <v>0</v>
      </c>
      <c r="AD29" s="103" t="e">
        <f t="shared" si="10"/>
        <v>#DIV/0!</v>
      </c>
      <c r="AE29" s="118">
        <f t="shared" si="11"/>
        <v>0</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163">
        <f t="shared" si="28"/>
        <v>6.6004224270353309E-2</v>
      </c>
      <c r="AW29" s="143">
        <f t="shared" si="74"/>
        <v>0</v>
      </c>
      <c r="AX29" s="154">
        <f t="shared" si="29"/>
        <v>0</v>
      </c>
      <c r="AY29" s="155">
        <v>25</v>
      </c>
      <c r="AZ29" s="156">
        <f t="shared" si="30"/>
        <v>0</v>
      </c>
      <c r="BA29" s="157">
        <f t="shared" si="31"/>
        <v>160.08822050879769</v>
      </c>
      <c r="BB29" s="158">
        <f t="shared" si="32"/>
        <v>5.9072553367746347E-2</v>
      </c>
      <c r="BC29" s="157">
        <f t="shared" si="75"/>
        <v>165.09160134454382</v>
      </c>
      <c r="BD29" s="159">
        <f t="shared" si="33"/>
        <v>6.0918800896136667E-2</v>
      </c>
      <c r="BE29" s="24" t="e">
        <f t="shared" si="34"/>
        <v>#DIV/0!</v>
      </c>
      <c r="BF29" s="27" t="e">
        <f t="shared" si="35"/>
        <v>#DIV/0!</v>
      </c>
      <c r="BG29" s="24" t="e">
        <f t="shared" si="36"/>
        <v>#DIV/0!</v>
      </c>
      <c r="BH29" s="61" t="e">
        <f t="shared" si="37"/>
        <v>#DIV/0!</v>
      </c>
      <c r="BI29" s="24">
        <f t="shared" si="38"/>
        <v>0</v>
      </c>
      <c r="BJ29" s="27" t="e">
        <f t="shared" si="39"/>
        <v>#DIV/0!</v>
      </c>
      <c r="BK29" s="24">
        <f t="shared" si="40"/>
        <v>0</v>
      </c>
      <c r="BL29" s="27">
        <f t="shared" si="41"/>
        <v>0</v>
      </c>
      <c r="BM29" s="24">
        <f t="shared" si="42"/>
        <v>0</v>
      </c>
      <c r="BN29" s="27">
        <f t="shared" si="43"/>
        <v>0</v>
      </c>
      <c r="BO29" s="24">
        <f t="shared" si="44"/>
        <v>0</v>
      </c>
      <c r="BP29" s="27">
        <f t="shared" si="45"/>
        <v>0</v>
      </c>
      <c r="BQ29" s="147">
        <f t="shared" si="46"/>
        <v>0</v>
      </c>
      <c r="BR29" s="27">
        <f t="shared" si="47"/>
        <v>0</v>
      </c>
      <c r="BS29" s="91" t="e">
        <f t="shared" si="76"/>
        <v>#DIV/0!</v>
      </c>
      <c r="BT29" s="101" t="e">
        <f t="shared" si="77"/>
        <v>#DIV/0!</v>
      </c>
      <c r="BU29" s="206" t="e">
        <f t="shared" si="78"/>
        <v>#DIV/0!</v>
      </c>
      <c r="BV29" s="97" t="e">
        <f t="shared" si="79"/>
        <v>#DIV/0!</v>
      </c>
      <c r="BW29" s="123" t="e">
        <f t="shared" si="80"/>
        <v>#DIV/0!</v>
      </c>
      <c r="BX29" s="91">
        <f t="shared" si="81"/>
        <v>3.6157024793388431E-3</v>
      </c>
      <c r="BY29" s="92">
        <f t="shared" si="48"/>
        <v>5.0000000000000001E-3</v>
      </c>
      <c r="BZ29" s="233">
        <f t="shared" si="49"/>
        <v>0</v>
      </c>
      <c r="CA29" s="92">
        <f t="shared" si="50"/>
        <v>0</v>
      </c>
      <c r="CB29" s="92">
        <f t="shared" si="51"/>
        <v>0</v>
      </c>
      <c r="CC29" s="92">
        <f t="shared" si="52"/>
        <v>0</v>
      </c>
      <c r="CD29" s="92">
        <f t="shared" si="53"/>
        <v>0</v>
      </c>
      <c r="CE29" s="127">
        <f t="shared" si="82"/>
        <v>8.6157024793388423E-3</v>
      </c>
      <c r="CF29" s="91">
        <f t="shared" si="83"/>
        <v>1.4979338842975204E-2</v>
      </c>
      <c r="CG29" s="92">
        <f t="shared" si="54"/>
        <v>0.15709090909090911</v>
      </c>
      <c r="CH29" s="92">
        <f t="shared" si="55"/>
        <v>5.4545454545454558E-3</v>
      </c>
      <c r="CI29" s="92">
        <f t="shared" si="56"/>
        <v>0.19800000000000001</v>
      </c>
      <c r="CJ29" s="93">
        <f t="shared" si="57"/>
        <v>0.09</v>
      </c>
      <c r="CK29" s="127">
        <f t="shared" si="84"/>
        <v>0.46552479338842978</v>
      </c>
      <c r="CL29" s="91">
        <f t="shared" si="58"/>
        <v>0.15</v>
      </c>
      <c r="CM29" s="92">
        <f t="shared" si="59"/>
        <v>0</v>
      </c>
      <c r="CN29" s="92">
        <f t="shared" si="60"/>
        <v>0</v>
      </c>
      <c r="CO29" s="92">
        <f t="shared" si="61"/>
        <v>0</v>
      </c>
      <c r="CP29" s="92">
        <f t="shared" si="62"/>
        <v>0</v>
      </c>
      <c r="CQ29" s="92">
        <f t="shared" si="63"/>
        <v>0</v>
      </c>
      <c r="CR29" s="127">
        <f t="shared" si="85"/>
        <v>0.15</v>
      </c>
      <c r="CS29" s="92">
        <f t="shared" si="86"/>
        <v>0.62414049586776865</v>
      </c>
      <c r="CT29" s="92">
        <f t="shared" si="64"/>
        <v>8.1241404958677688</v>
      </c>
      <c r="CU29" s="93">
        <f t="shared" si="65"/>
        <v>0.92317458121443996</v>
      </c>
      <c r="CV29">
        <f t="shared" si="87"/>
        <v>33</v>
      </c>
    </row>
    <row r="30" spans="1:100" ht="15.75" thickBot="1" x14ac:dyDescent="0.3">
      <c r="A30" s="12" t="s">
        <v>342</v>
      </c>
      <c r="B30" s="12" t="e">
        <f>MAX(U4:U54)</f>
        <v>#DIV/0!</v>
      </c>
      <c r="C30" s="12" t="s">
        <v>6</v>
      </c>
      <c r="K30">
        <v>26</v>
      </c>
      <c r="L30" s="91">
        <f t="shared" si="0"/>
        <v>34.08</v>
      </c>
      <c r="M30" s="93">
        <f t="shared" si="1"/>
        <v>0.22007042253521128</v>
      </c>
      <c r="N30" s="122">
        <f t="shared" si="66"/>
        <v>1.33932989666755E-4</v>
      </c>
      <c r="O30" s="97">
        <f t="shared" si="67"/>
        <v>1.2053969070007949E-4</v>
      </c>
      <c r="P30" s="123">
        <f t="shared" si="68"/>
        <v>1.0958153700007226E-4</v>
      </c>
      <c r="Q30" s="127">
        <f t="shared" si="69"/>
        <v>0.30562347188264061</v>
      </c>
      <c r="R30" s="91">
        <f t="shared" si="70"/>
        <v>0.72007042253521125</v>
      </c>
      <c r="S30" s="92">
        <f t="shared" si="2"/>
        <v>0.23145884270578648</v>
      </c>
      <c r="T30" s="92">
        <f t="shared" si="71"/>
        <v>0.83579984388810447</v>
      </c>
      <c r="U30" s="92" t="e">
        <f t="shared" si="3"/>
        <v>#DIV/0!</v>
      </c>
      <c r="V30" s="118">
        <f t="shared" si="72"/>
        <v>0.39978824101327021</v>
      </c>
      <c r="W30" s="103">
        <f t="shared" si="73"/>
        <v>0.33376585621908389</v>
      </c>
      <c r="X30" s="117">
        <f t="shared" si="4"/>
        <v>0.72007042253521125</v>
      </c>
      <c r="Y30" s="103">
        <f t="shared" si="5"/>
        <v>0.23145884270578648</v>
      </c>
      <c r="Z30" s="103">
        <f t="shared" si="6"/>
        <v>0.60260701020353635</v>
      </c>
      <c r="AA30" s="118">
        <f t="shared" si="7"/>
        <v>0.51817122016765615</v>
      </c>
      <c r="AB30" s="117">
        <f t="shared" si="8"/>
        <v>0</v>
      </c>
      <c r="AC30" s="103">
        <f t="shared" si="9"/>
        <v>0</v>
      </c>
      <c r="AD30" s="103" t="e">
        <f t="shared" si="10"/>
        <v>#DIV/0!</v>
      </c>
      <c r="AE30" s="118">
        <f t="shared" si="11"/>
        <v>0</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163">
        <f t="shared" si="28"/>
        <v>6.6664413221712696E-2</v>
      </c>
      <c r="AW30" s="143">
        <f t="shared" si="74"/>
        <v>0</v>
      </c>
      <c r="AX30" s="154">
        <f t="shared" si="29"/>
        <v>0</v>
      </c>
      <c r="AY30" s="155">
        <v>26</v>
      </c>
      <c r="AZ30" s="156">
        <f t="shared" si="30"/>
        <v>0</v>
      </c>
      <c r="BA30" s="157">
        <f t="shared" si="31"/>
        <v>164.38295141835104</v>
      </c>
      <c r="BB30" s="158">
        <f t="shared" si="32"/>
        <v>6.0657309073371538E-2</v>
      </c>
      <c r="BC30" s="157">
        <f t="shared" si="75"/>
        <v>169.18346319769449</v>
      </c>
      <c r="BD30" s="159">
        <f t="shared" si="33"/>
        <v>6.2428697919949268E-2</v>
      </c>
      <c r="BE30" s="24" t="e">
        <f t="shared" si="34"/>
        <v>#DIV/0!</v>
      </c>
      <c r="BF30" s="27" t="e">
        <f t="shared" si="35"/>
        <v>#DIV/0!</v>
      </c>
      <c r="BG30" s="24" t="e">
        <f t="shared" si="36"/>
        <v>#DIV/0!</v>
      </c>
      <c r="BH30" s="61" t="e">
        <f t="shared" si="37"/>
        <v>#DIV/0!</v>
      </c>
      <c r="BI30" s="24">
        <f t="shared" si="38"/>
        <v>0</v>
      </c>
      <c r="BJ30" s="27" t="e">
        <f t="shared" si="39"/>
        <v>#DIV/0!</v>
      </c>
      <c r="BK30" s="24">
        <f t="shared" si="40"/>
        <v>0</v>
      </c>
      <c r="BL30" s="27">
        <f t="shared" si="41"/>
        <v>0</v>
      </c>
      <c r="BM30" s="24">
        <f t="shared" si="42"/>
        <v>0</v>
      </c>
      <c r="BN30" s="27">
        <f t="shared" si="43"/>
        <v>0</v>
      </c>
      <c r="BO30" s="24">
        <f t="shared" si="44"/>
        <v>0</v>
      </c>
      <c r="BP30" s="27">
        <f t="shared" si="45"/>
        <v>0</v>
      </c>
      <c r="BQ30" s="147">
        <f t="shared" si="46"/>
        <v>0</v>
      </c>
      <c r="BR30" s="27">
        <f t="shared" si="47"/>
        <v>0</v>
      </c>
      <c r="BS30" s="91" t="e">
        <f t="shared" si="76"/>
        <v>#DIV/0!</v>
      </c>
      <c r="BT30" s="101" t="e">
        <f t="shared" si="77"/>
        <v>#DIV/0!</v>
      </c>
      <c r="BU30" s="206" t="e">
        <f t="shared" si="78"/>
        <v>#DIV/0!</v>
      </c>
      <c r="BV30" s="97" t="e">
        <f t="shared" si="79"/>
        <v>#DIV/0!</v>
      </c>
      <c r="BW30" s="123" t="e">
        <f t="shared" si="80"/>
        <v>#DIV/0!</v>
      </c>
      <c r="BX30" s="91">
        <f t="shared" si="81"/>
        <v>3.3901693612378501E-3</v>
      </c>
      <c r="BY30" s="92">
        <f t="shared" si="48"/>
        <v>5.0000000000000001E-3</v>
      </c>
      <c r="BZ30" s="233">
        <f t="shared" si="49"/>
        <v>0</v>
      </c>
      <c r="CA30" s="92">
        <f t="shared" si="50"/>
        <v>0</v>
      </c>
      <c r="CB30" s="92">
        <f t="shared" si="51"/>
        <v>0</v>
      </c>
      <c r="CC30" s="92">
        <f t="shared" si="52"/>
        <v>0</v>
      </c>
      <c r="CD30" s="92">
        <f t="shared" si="53"/>
        <v>0</v>
      </c>
      <c r="CE30" s="127">
        <f t="shared" si="82"/>
        <v>8.3901693612378498E-3</v>
      </c>
      <c r="CF30" s="91">
        <f t="shared" si="83"/>
        <v>1.4044987353699663E-2</v>
      </c>
      <c r="CG30" s="92">
        <f t="shared" si="54"/>
        <v>0.15903475352112675</v>
      </c>
      <c r="CH30" s="92">
        <f t="shared" si="55"/>
        <v>5.4005281690140848E-3</v>
      </c>
      <c r="CI30" s="92">
        <f t="shared" si="56"/>
        <v>0.20448</v>
      </c>
      <c r="CJ30" s="93">
        <f t="shared" si="57"/>
        <v>0.09</v>
      </c>
      <c r="CK30" s="127">
        <f t="shared" si="84"/>
        <v>0.47296026904384048</v>
      </c>
      <c r="CL30" s="91">
        <f t="shared" si="58"/>
        <v>0.15</v>
      </c>
      <c r="CM30" s="92">
        <f t="shared" si="59"/>
        <v>0</v>
      </c>
      <c r="CN30" s="92">
        <f t="shared" si="60"/>
        <v>0</v>
      </c>
      <c r="CO30" s="92">
        <f t="shared" si="61"/>
        <v>0</v>
      </c>
      <c r="CP30" s="92">
        <f t="shared" si="62"/>
        <v>0</v>
      </c>
      <c r="CQ30" s="92">
        <f t="shared" si="63"/>
        <v>0</v>
      </c>
      <c r="CR30" s="127">
        <f t="shared" si="85"/>
        <v>0.15</v>
      </c>
      <c r="CS30" s="92">
        <f t="shared" si="86"/>
        <v>0.63135043840507832</v>
      </c>
      <c r="CT30" s="92">
        <f t="shared" si="64"/>
        <v>8.1313504384050788</v>
      </c>
      <c r="CU30" s="93">
        <f t="shared" si="65"/>
        <v>0.92235601660664435</v>
      </c>
      <c r="CV30">
        <f t="shared" si="87"/>
        <v>34.08</v>
      </c>
    </row>
    <row r="31" spans="1:100" ht="15.75" thickBot="1" x14ac:dyDescent="0.3">
      <c r="A31" s="12" t="s">
        <v>341</v>
      </c>
      <c r="B31" s="12" t="e">
        <f>VLOOKUP(ILrms_Total_Max_FBB,U4:AU54,2,FALSE)</f>
        <v>#DIV/0!</v>
      </c>
      <c r="C31" s="12" t="s">
        <v>6</v>
      </c>
      <c r="K31">
        <v>27</v>
      </c>
      <c r="L31" s="91">
        <f t="shared" si="0"/>
        <v>35.160000000000004</v>
      </c>
      <c r="M31" s="93">
        <f t="shared" si="1"/>
        <v>0.21331058020477814</v>
      </c>
      <c r="N31" s="122">
        <f t="shared" si="66"/>
        <v>1.3648350795794761E-4</v>
      </c>
      <c r="O31" s="97">
        <f t="shared" si="67"/>
        <v>1.2283515716215285E-4</v>
      </c>
      <c r="P31" s="123">
        <f t="shared" si="68"/>
        <v>1.116683246928662E-4</v>
      </c>
      <c r="Q31" s="127">
        <f t="shared" si="69"/>
        <v>0.29904306220095689</v>
      </c>
      <c r="R31" s="91">
        <f t="shared" si="70"/>
        <v>0.71331058020477822</v>
      </c>
      <c r="S31" s="92">
        <f t="shared" si="2"/>
        <v>0.23365231259968103</v>
      </c>
      <c r="T31" s="92">
        <f t="shared" si="71"/>
        <v>0.83013673650461872</v>
      </c>
      <c r="U31" s="92" t="e">
        <f t="shared" si="3"/>
        <v>#DIV/0!</v>
      </c>
      <c r="V31" s="118">
        <f t="shared" si="72"/>
        <v>0.39181267879988768</v>
      </c>
      <c r="W31" s="103">
        <f t="shared" si="73"/>
        <v>0.32865752941480719</v>
      </c>
      <c r="X31" s="117">
        <f t="shared" si="4"/>
        <v>0.71331058020477811</v>
      </c>
      <c r="Y31" s="103">
        <f t="shared" si="5"/>
        <v>0.23365231259968106</v>
      </c>
      <c r="Z31" s="103">
        <f t="shared" si="6"/>
        <v>0.59987020165115568</v>
      </c>
      <c r="AA31" s="118">
        <f t="shared" si="7"/>
        <v>0.50873567186907309</v>
      </c>
      <c r="AB31" s="117">
        <f t="shared" si="8"/>
        <v>0</v>
      </c>
      <c r="AC31" s="103">
        <f t="shared" si="9"/>
        <v>0</v>
      </c>
      <c r="AD31" s="103" t="e">
        <f t="shared" si="10"/>
        <v>#DIV/0!</v>
      </c>
      <c r="AE31" s="118">
        <f t="shared" si="11"/>
        <v>0</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163">
        <f t="shared" si="28"/>
        <v>6.7296172983779087E-2</v>
      </c>
      <c r="AW31" s="143">
        <f t="shared" si="74"/>
        <v>0</v>
      </c>
      <c r="AX31" s="154">
        <f t="shared" si="29"/>
        <v>0</v>
      </c>
      <c r="AY31" s="155">
        <v>27</v>
      </c>
      <c r="AZ31" s="156">
        <f t="shared" si="30"/>
        <v>0</v>
      </c>
      <c r="BA31" s="157">
        <f t="shared" si="31"/>
        <v>168.55938929954229</v>
      </c>
      <c r="BB31" s="158">
        <f t="shared" si="32"/>
        <v>6.21984146515311E-2</v>
      </c>
      <c r="BC31" s="157">
        <f t="shared" si="75"/>
        <v>173.15491553316008</v>
      </c>
      <c r="BD31" s="159">
        <f t="shared" si="33"/>
        <v>6.3894163831736059E-2</v>
      </c>
      <c r="BE31" s="24" t="e">
        <f t="shared" si="34"/>
        <v>#DIV/0!</v>
      </c>
      <c r="BF31" s="27" t="e">
        <f t="shared" si="35"/>
        <v>#DIV/0!</v>
      </c>
      <c r="BG31" s="24" t="e">
        <f t="shared" si="36"/>
        <v>#DIV/0!</v>
      </c>
      <c r="BH31" s="61" t="e">
        <f t="shared" si="37"/>
        <v>#DIV/0!</v>
      </c>
      <c r="BI31" s="24">
        <f t="shared" si="38"/>
        <v>0</v>
      </c>
      <c r="BJ31" s="27" t="e">
        <f t="shared" si="39"/>
        <v>#DIV/0!</v>
      </c>
      <c r="BK31" s="24">
        <f t="shared" si="40"/>
        <v>0</v>
      </c>
      <c r="BL31" s="27">
        <f t="shared" si="41"/>
        <v>0</v>
      </c>
      <c r="BM31" s="24">
        <f t="shared" si="42"/>
        <v>0</v>
      </c>
      <c r="BN31" s="27">
        <f t="shared" si="43"/>
        <v>0</v>
      </c>
      <c r="BO31" s="24">
        <f t="shared" si="44"/>
        <v>0</v>
      </c>
      <c r="BP31" s="27">
        <f t="shared" si="45"/>
        <v>0</v>
      </c>
      <c r="BQ31" s="147">
        <f t="shared" si="46"/>
        <v>0</v>
      </c>
      <c r="BR31" s="27">
        <f t="shared" si="47"/>
        <v>0</v>
      </c>
      <c r="BS31" s="91" t="e">
        <f t="shared" si="76"/>
        <v>#DIV/0!</v>
      </c>
      <c r="BT31" s="101" t="e">
        <f t="shared" si="77"/>
        <v>#DIV/0!</v>
      </c>
      <c r="BU31" s="206" t="e">
        <f t="shared" si="78"/>
        <v>#DIV/0!</v>
      </c>
      <c r="BV31" s="97" t="e">
        <f t="shared" si="79"/>
        <v>#DIV/0!</v>
      </c>
      <c r="BW31" s="123" t="e">
        <f t="shared" si="80"/>
        <v>#DIV/0!</v>
      </c>
      <c r="BX31" s="91">
        <f t="shared" si="81"/>
        <v>3.1850982539109365E-3</v>
      </c>
      <c r="BY31" s="92">
        <f t="shared" si="48"/>
        <v>5.0000000000000001E-3</v>
      </c>
      <c r="BZ31" s="233">
        <f t="shared" si="49"/>
        <v>0</v>
      </c>
      <c r="CA31" s="92">
        <f t="shared" si="50"/>
        <v>0</v>
      </c>
      <c r="CB31" s="92">
        <f t="shared" si="51"/>
        <v>0</v>
      </c>
      <c r="CC31" s="92">
        <f t="shared" si="52"/>
        <v>0</v>
      </c>
      <c r="CD31" s="92">
        <f t="shared" si="53"/>
        <v>0</v>
      </c>
      <c r="CE31" s="127">
        <f t="shared" si="82"/>
        <v>8.1850982539109357E-3</v>
      </c>
      <c r="CF31" s="91">
        <f t="shared" si="83"/>
        <v>1.3195407051916736E-2</v>
      </c>
      <c r="CG31" s="92">
        <f t="shared" si="54"/>
        <v>0.16100846416382256</v>
      </c>
      <c r="CH31" s="92">
        <f t="shared" si="55"/>
        <v>5.3498293515358373E-3</v>
      </c>
      <c r="CI31" s="92">
        <f t="shared" si="56"/>
        <v>0.21096000000000004</v>
      </c>
      <c r="CJ31" s="93">
        <f t="shared" si="57"/>
        <v>0.09</v>
      </c>
      <c r="CK31" s="127">
        <f t="shared" si="84"/>
        <v>0.48051370056727516</v>
      </c>
      <c r="CL31" s="91">
        <f t="shared" si="58"/>
        <v>0.15</v>
      </c>
      <c r="CM31" s="92">
        <f t="shared" si="59"/>
        <v>0</v>
      </c>
      <c r="CN31" s="92">
        <f t="shared" si="60"/>
        <v>0</v>
      </c>
      <c r="CO31" s="92">
        <f t="shared" si="61"/>
        <v>0</v>
      </c>
      <c r="CP31" s="92">
        <f t="shared" si="62"/>
        <v>0</v>
      </c>
      <c r="CQ31" s="92">
        <f t="shared" si="63"/>
        <v>0</v>
      </c>
      <c r="CR31" s="127">
        <f t="shared" si="85"/>
        <v>0.15</v>
      </c>
      <c r="CS31" s="92">
        <f t="shared" si="86"/>
        <v>0.63869879882118608</v>
      </c>
      <c r="CT31" s="92">
        <f t="shared" si="64"/>
        <v>8.1386987988211867</v>
      </c>
      <c r="CU31" s="93">
        <f t="shared" si="65"/>
        <v>0.92152322937498365</v>
      </c>
      <c r="CV31">
        <f t="shared" si="87"/>
        <v>35.160000000000004</v>
      </c>
    </row>
    <row r="32" spans="1:100" ht="15.75" thickBot="1" x14ac:dyDescent="0.3">
      <c r="A32" s="12" t="s">
        <v>113</v>
      </c>
      <c r="B32" s="12" t="e">
        <f>VLOOKUP(ILrms_Total_Max_FBB,U4:AU54,6,FALSE)</f>
        <v>#DIV/0!</v>
      </c>
      <c r="C32" s="12" t="s">
        <v>6</v>
      </c>
      <c r="K32">
        <v>28</v>
      </c>
      <c r="L32" s="91">
        <f t="shared" si="0"/>
        <v>36.24</v>
      </c>
      <c r="M32" s="93">
        <f t="shared" si="1"/>
        <v>0.20695364238410596</v>
      </c>
      <c r="N32" s="122">
        <f t="shared" si="66"/>
        <v>1.3894906704059389E-4</v>
      </c>
      <c r="O32" s="97">
        <f t="shared" si="67"/>
        <v>1.2505416033653451E-4</v>
      </c>
      <c r="P32" s="123">
        <f t="shared" si="68"/>
        <v>1.1368560030594045E-4</v>
      </c>
      <c r="Q32" s="127">
        <f t="shared" si="69"/>
        <v>0.29274004683840749</v>
      </c>
      <c r="R32" s="91">
        <f t="shared" si="70"/>
        <v>0.70695364238410596</v>
      </c>
      <c r="S32" s="92">
        <f t="shared" si="2"/>
        <v>0.23575331772053087</v>
      </c>
      <c r="T32" s="92">
        <f t="shared" si="71"/>
        <v>0.8248303012443714</v>
      </c>
      <c r="U32" s="92" t="e">
        <f t="shared" si="3"/>
        <v>#DIV/0!</v>
      </c>
      <c r="V32" s="118">
        <f t="shared" si="72"/>
        <v>0.38426878158552236</v>
      </c>
      <c r="W32" s="103">
        <f t="shared" si="73"/>
        <v>0.3237787615103459</v>
      </c>
      <c r="X32" s="117">
        <f t="shared" si="4"/>
        <v>0.70695364238410596</v>
      </c>
      <c r="Y32" s="103">
        <f t="shared" si="5"/>
        <v>0.23575331772053087</v>
      </c>
      <c r="Z32" s="103">
        <f t="shared" si="6"/>
        <v>0.59728769579403862</v>
      </c>
      <c r="AA32" s="118">
        <f t="shared" si="7"/>
        <v>0.49978340556700596</v>
      </c>
      <c r="AB32" s="117">
        <f t="shared" si="8"/>
        <v>0</v>
      </c>
      <c r="AC32" s="103">
        <f t="shared" si="9"/>
        <v>0</v>
      </c>
      <c r="AD32" s="103" t="e">
        <f t="shared" si="10"/>
        <v>#DIV/0!</v>
      </c>
      <c r="AE32" s="118">
        <f t="shared" si="11"/>
        <v>0</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163">
        <f t="shared" si="28"/>
        <v>6.7901301186788832E-2</v>
      </c>
      <c r="AW32" s="143">
        <f t="shared" si="74"/>
        <v>0</v>
      </c>
      <c r="AX32" s="154">
        <f t="shared" si="29"/>
        <v>0</v>
      </c>
      <c r="AY32" s="155">
        <v>28</v>
      </c>
      <c r="AZ32" s="156">
        <f t="shared" si="30"/>
        <v>0</v>
      </c>
      <c r="BA32" s="157">
        <f t="shared" si="31"/>
        <v>172.62127069715612</v>
      </c>
      <c r="BB32" s="158">
        <f t="shared" si="32"/>
        <v>6.3697248887250604E-2</v>
      </c>
      <c r="BC32" s="157">
        <f t="shared" si="75"/>
        <v>177.01034113275</v>
      </c>
      <c r="BD32" s="159">
        <f t="shared" si="33"/>
        <v>6.5316815877984755E-2</v>
      </c>
      <c r="BE32" s="24" t="e">
        <f t="shared" si="34"/>
        <v>#DIV/0!</v>
      </c>
      <c r="BF32" s="27" t="e">
        <f t="shared" si="35"/>
        <v>#DIV/0!</v>
      </c>
      <c r="BG32" s="24" t="e">
        <f t="shared" si="36"/>
        <v>#DIV/0!</v>
      </c>
      <c r="BH32" s="61" t="e">
        <f t="shared" si="37"/>
        <v>#DIV/0!</v>
      </c>
      <c r="BI32" s="24">
        <f t="shared" si="38"/>
        <v>0</v>
      </c>
      <c r="BJ32" s="27" t="e">
        <f t="shared" si="39"/>
        <v>#DIV/0!</v>
      </c>
      <c r="BK32" s="24">
        <f t="shared" si="40"/>
        <v>0</v>
      </c>
      <c r="BL32" s="27">
        <f t="shared" si="41"/>
        <v>0</v>
      </c>
      <c r="BM32" s="24">
        <f t="shared" si="42"/>
        <v>0</v>
      </c>
      <c r="BN32" s="27">
        <f t="shared" si="43"/>
        <v>0</v>
      </c>
      <c r="BO32" s="24">
        <f t="shared" si="44"/>
        <v>0</v>
      </c>
      <c r="BP32" s="27">
        <f t="shared" si="45"/>
        <v>0</v>
      </c>
      <c r="BQ32" s="147">
        <f t="shared" si="46"/>
        <v>0</v>
      </c>
      <c r="BR32" s="27">
        <f t="shared" si="47"/>
        <v>0</v>
      </c>
      <c r="BS32" s="91" t="e">
        <f t="shared" si="76"/>
        <v>#DIV/0!</v>
      </c>
      <c r="BT32" s="101" t="e">
        <f t="shared" si="77"/>
        <v>#DIV/0!</v>
      </c>
      <c r="BU32" s="206" t="e">
        <f t="shared" si="78"/>
        <v>#DIV/0!</v>
      </c>
      <c r="BV32" s="97" t="e">
        <f t="shared" si="79"/>
        <v>#DIV/0!</v>
      </c>
      <c r="BW32" s="123" t="e">
        <f t="shared" si="80"/>
        <v>#DIV/0!</v>
      </c>
      <c r="BX32" s="91">
        <f t="shared" si="81"/>
        <v>2.9980867067233899E-3</v>
      </c>
      <c r="BY32" s="92">
        <f t="shared" si="48"/>
        <v>5.0000000000000001E-3</v>
      </c>
      <c r="BZ32" s="233">
        <f t="shared" si="49"/>
        <v>0</v>
      </c>
      <c r="CA32" s="92">
        <f t="shared" si="50"/>
        <v>0</v>
      </c>
      <c r="CB32" s="92">
        <f t="shared" si="51"/>
        <v>0</v>
      </c>
      <c r="CC32" s="92">
        <f t="shared" si="52"/>
        <v>0</v>
      </c>
      <c r="CD32" s="92">
        <f t="shared" si="53"/>
        <v>0</v>
      </c>
      <c r="CE32" s="127">
        <f t="shared" si="82"/>
        <v>7.9980867067233896E-3</v>
      </c>
      <c r="CF32" s="91">
        <f t="shared" si="83"/>
        <v>1.2420644927854042E-2</v>
      </c>
      <c r="CG32" s="92">
        <f t="shared" si="54"/>
        <v>0.16300937086092718</v>
      </c>
      <c r="CH32" s="92">
        <f t="shared" si="55"/>
        <v>5.3021523178807947E-3</v>
      </c>
      <c r="CI32" s="92">
        <f t="shared" si="56"/>
        <v>0.21744000000000002</v>
      </c>
      <c r="CJ32" s="93">
        <f t="shared" si="57"/>
        <v>0.09</v>
      </c>
      <c r="CK32" s="127">
        <f t="shared" si="84"/>
        <v>0.48817216810666197</v>
      </c>
      <c r="CL32" s="91">
        <f t="shared" si="58"/>
        <v>0.15</v>
      </c>
      <c r="CM32" s="92">
        <f t="shared" si="59"/>
        <v>0</v>
      </c>
      <c r="CN32" s="92">
        <f t="shared" si="60"/>
        <v>0</v>
      </c>
      <c r="CO32" s="92">
        <f t="shared" si="61"/>
        <v>0</v>
      </c>
      <c r="CP32" s="92">
        <f t="shared" si="62"/>
        <v>0</v>
      </c>
      <c r="CQ32" s="92">
        <f t="shared" si="63"/>
        <v>0</v>
      </c>
      <c r="CR32" s="127">
        <f t="shared" si="85"/>
        <v>0.15</v>
      </c>
      <c r="CS32" s="92">
        <f t="shared" si="86"/>
        <v>0.64617025481338541</v>
      </c>
      <c r="CT32" s="92">
        <f t="shared" si="64"/>
        <v>8.1461702548133861</v>
      </c>
      <c r="CU32" s="93">
        <f t="shared" si="65"/>
        <v>0.92067803217940614</v>
      </c>
      <c r="CV32">
        <f t="shared" si="87"/>
        <v>36.24</v>
      </c>
    </row>
    <row r="33" spans="1:100" ht="15.75" thickBot="1" x14ac:dyDescent="0.3">
      <c r="A33" s="12" t="s">
        <v>114</v>
      </c>
      <c r="B33" s="12" t="e">
        <f>VLOOKUP(ILrms_Total_Max_FBB,U4:AU54,10,FALSE)</f>
        <v>#DIV/0!</v>
      </c>
      <c r="C33" s="12" t="s">
        <v>6</v>
      </c>
      <c r="K33">
        <v>29</v>
      </c>
      <c r="L33" s="91">
        <f t="shared" si="0"/>
        <v>37.32</v>
      </c>
      <c r="M33" s="93">
        <f t="shared" si="1"/>
        <v>0.20096463022508038</v>
      </c>
      <c r="N33" s="122">
        <f t="shared" si="66"/>
        <v>1.413335601193315E-4</v>
      </c>
      <c r="O33" s="97">
        <f t="shared" si="67"/>
        <v>1.2720020410739838E-4</v>
      </c>
      <c r="P33" s="123">
        <f t="shared" si="68"/>
        <v>1.1563654918854397E-4</v>
      </c>
      <c r="Q33" s="127">
        <f t="shared" si="69"/>
        <v>0.28669724770642202</v>
      </c>
      <c r="R33" s="91">
        <f t="shared" si="70"/>
        <v>0.70096463022508038</v>
      </c>
      <c r="S33" s="92">
        <f t="shared" si="2"/>
        <v>0.23776758409785939</v>
      </c>
      <c r="T33" s="92">
        <f t="shared" si="71"/>
        <v>0.81984842227401011</v>
      </c>
      <c r="U33" s="92" t="e">
        <f t="shared" si="3"/>
        <v>#DIV/0!</v>
      </c>
      <c r="V33" s="118">
        <f t="shared" si="72"/>
        <v>0.37712035541791633</v>
      </c>
      <c r="W33" s="103">
        <f t="shared" si="73"/>
        <v>0.31911280116760005</v>
      </c>
      <c r="X33" s="117">
        <f t="shared" si="4"/>
        <v>0.70096463022508038</v>
      </c>
      <c r="Y33" s="103">
        <f t="shared" si="5"/>
        <v>0.23776758409785939</v>
      </c>
      <c r="Z33" s="103">
        <f t="shared" si="6"/>
        <v>0.59484684501701146</v>
      </c>
      <c r="AA33" s="118">
        <f t="shared" si="7"/>
        <v>0.4912752923021711</v>
      </c>
      <c r="AB33" s="117">
        <f t="shared" si="8"/>
        <v>0</v>
      </c>
      <c r="AC33" s="103">
        <f t="shared" si="9"/>
        <v>0</v>
      </c>
      <c r="AD33" s="103" t="e">
        <f t="shared" si="10"/>
        <v>#DIV/0!</v>
      </c>
      <c r="AE33" s="118">
        <f t="shared" si="11"/>
        <v>0</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163">
        <f t="shared" si="28"/>
        <v>6.8481447032793588E-2</v>
      </c>
      <c r="AW33" s="143">
        <f t="shared" si="74"/>
        <v>0</v>
      </c>
      <c r="AX33" s="154">
        <f t="shared" si="29"/>
        <v>0</v>
      </c>
      <c r="AY33" s="155">
        <v>29</v>
      </c>
      <c r="AZ33" s="156">
        <f t="shared" si="30"/>
        <v>0</v>
      </c>
      <c r="BA33" s="157">
        <f t="shared" si="31"/>
        <v>176.57229502736666</v>
      </c>
      <c r="BB33" s="158">
        <f t="shared" si="32"/>
        <v>6.5155176865098294E-2</v>
      </c>
      <c r="BC33" s="157">
        <f t="shared" si="75"/>
        <v>180.75400355374805</v>
      </c>
      <c r="BD33" s="159">
        <f t="shared" si="33"/>
        <v>6.6698227311333028E-2</v>
      </c>
      <c r="BE33" s="24" t="e">
        <f t="shared" si="34"/>
        <v>#DIV/0!</v>
      </c>
      <c r="BF33" s="27" t="e">
        <f t="shared" si="35"/>
        <v>#DIV/0!</v>
      </c>
      <c r="BG33" s="24" t="e">
        <f t="shared" si="36"/>
        <v>#DIV/0!</v>
      </c>
      <c r="BH33" s="61" t="e">
        <f t="shared" si="37"/>
        <v>#DIV/0!</v>
      </c>
      <c r="BI33" s="24">
        <f t="shared" si="38"/>
        <v>0</v>
      </c>
      <c r="BJ33" s="27" t="e">
        <f t="shared" si="39"/>
        <v>#DIV/0!</v>
      </c>
      <c r="BK33" s="24">
        <f t="shared" si="40"/>
        <v>0</v>
      </c>
      <c r="BL33" s="27">
        <f t="shared" si="41"/>
        <v>0</v>
      </c>
      <c r="BM33" s="24">
        <f t="shared" si="42"/>
        <v>0</v>
      </c>
      <c r="BN33" s="27">
        <f t="shared" si="43"/>
        <v>0</v>
      </c>
      <c r="BO33" s="24">
        <f t="shared" si="44"/>
        <v>0</v>
      </c>
      <c r="BP33" s="27">
        <f t="shared" si="45"/>
        <v>0</v>
      </c>
      <c r="BQ33" s="147">
        <f t="shared" si="46"/>
        <v>0</v>
      </c>
      <c r="BR33" s="27">
        <f t="shared" si="47"/>
        <v>0</v>
      </c>
      <c r="BS33" s="91" t="e">
        <f t="shared" si="76"/>
        <v>#DIV/0!</v>
      </c>
      <c r="BT33" s="101" t="e">
        <f t="shared" si="77"/>
        <v>#DIV/0!</v>
      </c>
      <c r="BU33" s="206" t="e">
        <f t="shared" si="78"/>
        <v>#DIV/0!</v>
      </c>
      <c r="BV33" s="97" t="e">
        <f t="shared" si="79"/>
        <v>#DIV/0!</v>
      </c>
      <c r="BW33" s="123" t="e">
        <f t="shared" si="80"/>
        <v>#DIV/0!</v>
      </c>
      <c r="BX33" s="91">
        <f t="shared" si="81"/>
        <v>2.8270747821052306E-3</v>
      </c>
      <c r="BY33" s="92">
        <f t="shared" si="48"/>
        <v>5.0000000000000001E-3</v>
      </c>
      <c r="BZ33" s="233">
        <f t="shared" si="49"/>
        <v>0</v>
      </c>
      <c r="CA33" s="92">
        <f t="shared" si="50"/>
        <v>0</v>
      </c>
      <c r="CB33" s="92">
        <f t="shared" si="51"/>
        <v>0</v>
      </c>
      <c r="CC33" s="92">
        <f t="shared" si="52"/>
        <v>0</v>
      </c>
      <c r="CD33" s="92">
        <f t="shared" si="53"/>
        <v>0</v>
      </c>
      <c r="CE33" s="127">
        <f t="shared" si="82"/>
        <v>7.8270747821052311E-3</v>
      </c>
      <c r="CF33" s="91">
        <f t="shared" si="83"/>
        <v>1.1712166954435953E-2</v>
      </c>
      <c r="CG33" s="92">
        <f t="shared" si="54"/>
        <v>0.16503511254019293</v>
      </c>
      <c r="CH33" s="92">
        <f t="shared" si="55"/>
        <v>5.2572347266881033E-3</v>
      </c>
      <c r="CI33" s="92">
        <f t="shared" si="56"/>
        <v>0.22392000000000001</v>
      </c>
      <c r="CJ33" s="93">
        <f t="shared" si="57"/>
        <v>0.09</v>
      </c>
      <c r="CK33" s="127">
        <f t="shared" si="84"/>
        <v>0.495924514221317</v>
      </c>
      <c r="CL33" s="91">
        <f t="shared" si="58"/>
        <v>0.15</v>
      </c>
      <c r="CM33" s="92">
        <f t="shared" si="59"/>
        <v>0</v>
      </c>
      <c r="CN33" s="92">
        <f t="shared" si="60"/>
        <v>0</v>
      </c>
      <c r="CO33" s="92">
        <f t="shared" si="61"/>
        <v>0</v>
      </c>
      <c r="CP33" s="92">
        <f t="shared" si="62"/>
        <v>0</v>
      </c>
      <c r="CQ33" s="92">
        <f t="shared" si="63"/>
        <v>0</v>
      </c>
      <c r="CR33" s="127">
        <f t="shared" si="85"/>
        <v>0.15</v>
      </c>
      <c r="CS33" s="92">
        <f t="shared" si="86"/>
        <v>0.65375158900342223</v>
      </c>
      <c r="CT33" s="92">
        <f t="shared" si="64"/>
        <v>8.1537515890034218</v>
      </c>
      <c r="CU33" s="93">
        <f t="shared" si="65"/>
        <v>0.91982198845926266</v>
      </c>
      <c r="CV33">
        <f t="shared" si="87"/>
        <v>37.32</v>
      </c>
    </row>
    <row r="34" spans="1:100" ht="15.75" thickBot="1" x14ac:dyDescent="0.3">
      <c r="A34" s="12" t="s">
        <v>115</v>
      </c>
      <c r="B34" s="12" t="e">
        <f>VLOOKUP(ILrms_Total_Max_FBB,U4:AU54,14,FALSE)</f>
        <v>#DIV/0!</v>
      </c>
      <c r="C34" s="12" t="s">
        <v>6</v>
      </c>
      <c r="K34">
        <v>30</v>
      </c>
      <c r="L34" s="91">
        <f t="shared" si="0"/>
        <v>38.400000000000006</v>
      </c>
      <c r="M34" s="93">
        <f t="shared" si="1"/>
        <v>0.19531249999999997</v>
      </c>
      <c r="N34" s="122">
        <f t="shared" si="66"/>
        <v>1.4364067387675515E-4</v>
      </c>
      <c r="O34" s="97">
        <f t="shared" si="67"/>
        <v>1.2927660648907966E-4</v>
      </c>
      <c r="P34" s="123">
        <f t="shared" si="68"/>
        <v>1.1752418771734512E-4</v>
      </c>
      <c r="Q34" s="127">
        <f t="shared" si="69"/>
        <v>0.28089887640449435</v>
      </c>
      <c r="R34" s="91">
        <f t="shared" si="70"/>
        <v>0.6953125</v>
      </c>
      <c r="S34" s="92">
        <f t="shared" si="2"/>
        <v>0.23970037453183524</v>
      </c>
      <c r="T34" s="92">
        <f t="shared" si="71"/>
        <v>0.81516268726591767</v>
      </c>
      <c r="U34" s="92" t="e">
        <f t="shared" si="3"/>
        <v>#DIV/0!</v>
      </c>
      <c r="V34" s="118">
        <f t="shared" si="72"/>
        <v>0.37033521677823472</v>
      </c>
      <c r="W34" s="103">
        <f t="shared" si="73"/>
        <v>0.31464456157691989</v>
      </c>
      <c r="X34" s="117">
        <f t="shared" si="4"/>
        <v>0.6953125</v>
      </c>
      <c r="Y34" s="103">
        <f t="shared" si="5"/>
        <v>0.23970037453183524</v>
      </c>
      <c r="Z34" s="103">
        <f t="shared" si="6"/>
        <v>0.59253634684517575</v>
      </c>
      <c r="AA34" s="118">
        <f t="shared" si="7"/>
        <v>0.48317644050206959</v>
      </c>
      <c r="AB34" s="117">
        <f t="shared" si="8"/>
        <v>0</v>
      </c>
      <c r="AC34" s="103">
        <f t="shared" si="9"/>
        <v>0</v>
      </c>
      <c r="AD34" s="103" t="e">
        <f t="shared" si="10"/>
        <v>#DIV/0!</v>
      </c>
      <c r="AE34" s="118">
        <f t="shared" si="11"/>
        <v>0</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163">
        <f t="shared" si="28"/>
        <v>6.9038126305252065E-2</v>
      </c>
      <c r="AW34" s="143">
        <f t="shared" si="74"/>
        <v>0</v>
      </c>
      <c r="AX34" s="154">
        <f t="shared" si="29"/>
        <v>0</v>
      </c>
      <c r="AY34" s="155">
        <v>30</v>
      </c>
      <c r="AZ34" s="156">
        <f t="shared" si="30"/>
        <v>0</v>
      </c>
      <c r="BA34" s="157">
        <f t="shared" si="31"/>
        <v>180.41610459304104</v>
      </c>
      <c r="BB34" s="158">
        <f t="shared" si="32"/>
        <v>6.6573542594832141E-2</v>
      </c>
      <c r="BC34" s="157">
        <f t="shared" si="75"/>
        <v>184.3900370537072</v>
      </c>
      <c r="BD34" s="159">
        <f t="shared" si="33"/>
        <v>6.8039923672817956E-2</v>
      </c>
      <c r="BE34" s="24" t="e">
        <f t="shared" si="34"/>
        <v>#DIV/0!</v>
      </c>
      <c r="BF34" s="27" t="e">
        <f t="shared" si="35"/>
        <v>#DIV/0!</v>
      </c>
      <c r="BG34" s="24" t="e">
        <f t="shared" si="36"/>
        <v>#DIV/0!</v>
      </c>
      <c r="BH34" s="61" t="e">
        <f t="shared" si="37"/>
        <v>#DIV/0!</v>
      </c>
      <c r="BI34" s="24">
        <f t="shared" si="38"/>
        <v>0</v>
      </c>
      <c r="BJ34" s="27" t="e">
        <f t="shared" si="39"/>
        <v>#DIV/0!</v>
      </c>
      <c r="BK34" s="24">
        <f t="shared" si="40"/>
        <v>0</v>
      </c>
      <c r="BL34" s="27">
        <f t="shared" si="41"/>
        <v>0</v>
      </c>
      <c r="BM34" s="24">
        <f t="shared" si="42"/>
        <v>0</v>
      </c>
      <c r="BN34" s="27">
        <f t="shared" si="43"/>
        <v>0</v>
      </c>
      <c r="BO34" s="24">
        <f t="shared" si="44"/>
        <v>0</v>
      </c>
      <c r="BP34" s="27">
        <f t="shared" si="45"/>
        <v>0</v>
      </c>
      <c r="BQ34" s="147">
        <f t="shared" si="46"/>
        <v>0</v>
      </c>
      <c r="BR34" s="27">
        <f t="shared" si="47"/>
        <v>0</v>
      </c>
      <c r="BS34" s="91" t="e">
        <f t="shared" si="76"/>
        <v>#DIV/0!</v>
      </c>
      <c r="BT34" s="101" t="e">
        <f t="shared" si="77"/>
        <v>#DIV/0!</v>
      </c>
      <c r="BU34" s="206" t="e">
        <f t="shared" si="78"/>
        <v>#DIV/0!</v>
      </c>
      <c r="BV34" s="97" t="e">
        <f t="shared" si="79"/>
        <v>#DIV/0!</v>
      </c>
      <c r="BW34" s="123" t="e">
        <f t="shared" si="80"/>
        <v>#DIV/0!</v>
      </c>
      <c r="BX34" s="91">
        <f t="shared" si="81"/>
        <v>2.6702880859374991E-3</v>
      </c>
      <c r="BY34" s="92">
        <f t="shared" si="48"/>
        <v>5.0000000000000001E-3</v>
      </c>
      <c r="BZ34" s="233">
        <f t="shared" si="49"/>
        <v>0</v>
      </c>
      <c r="CA34" s="92">
        <f t="shared" si="50"/>
        <v>0</v>
      </c>
      <c r="CB34" s="92">
        <f t="shared" si="51"/>
        <v>0</v>
      </c>
      <c r="CC34" s="92">
        <f t="shared" si="52"/>
        <v>0</v>
      </c>
      <c r="CD34" s="92">
        <f t="shared" si="53"/>
        <v>0</v>
      </c>
      <c r="CE34" s="127">
        <f t="shared" si="82"/>
        <v>7.6702880859374992E-3</v>
      </c>
      <c r="CF34" s="91">
        <f t="shared" si="83"/>
        <v>1.1062622070312495E-2</v>
      </c>
      <c r="CG34" s="92">
        <f t="shared" si="54"/>
        <v>0.16708359375000004</v>
      </c>
      <c r="CH34" s="92">
        <f t="shared" si="55"/>
        <v>5.2148437500000007E-3</v>
      </c>
      <c r="CI34" s="92">
        <f t="shared" si="56"/>
        <v>0.23040000000000002</v>
      </c>
      <c r="CJ34" s="93">
        <f t="shared" si="57"/>
        <v>0.09</v>
      </c>
      <c r="CK34" s="127">
        <f t="shared" si="84"/>
        <v>0.50376105957031259</v>
      </c>
      <c r="CL34" s="91">
        <f t="shared" si="58"/>
        <v>0.15</v>
      </c>
      <c r="CM34" s="92">
        <f t="shared" si="59"/>
        <v>0</v>
      </c>
      <c r="CN34" s="92">
        <f t="shared" si="60"/>
        <v>0</v>
      </c>
      <c r="CO34" s="92">
        <f t="shared" si="61"/>
        <v>0</v>
      </c>
      <c r="CP34" s="92">
        <f t="shared" si="62"/>
        <v>0</v>
      </c>
      <c r="CQ34" s="92">
        <f t="shared" si="63"/>
        <v>0</v>
      </c>
      <c r="CR34" s="127">
        <f t="shared" si="85"/>
        <v>0.15</v>
      </c>
      <c r="CS34" s="92">
        <f t="shared" si="86"/>
        <v>0.66143134765625011</v>
      </c>
      <c r="CT34" s="92">
        <f t="shared" si="64"/>
        <v>8.1614313476562508</v>
      </c>
      <c r="CU34" s="93">
        <f t="shared" si="65"/>
        <v>0.91895645267589043</v>
      </c>
      <c r="CV34">
        <f t="shared" si="87"/>
        <v>38.400000000000006</v>
      </c>
    </row>
    <row r="35" spans="1:100" ht="15.75" thickBot="1" x14ac:dyDescent="0.3">
      <c r="A35" s="12" t="s">
        <v>116</v>
      </c>
      <c r="B35" s="12" t="e">
        <f>VLOOKUP(ILrms_Total_Max_FBB,U4:AU54,18,FALSE)</f>
        <v>#DIV/0!</v>
      </c>
      <c r="C35" s="12" t="s">
        <v>6</v>
      </c>
      <c r="K35">
        <v>31</v>
      </c>
      <c r="L35" s="91">
        <f t="shared" si="0"/>
        <v>39.480000000000004</v>
      </c>
      <c r="M35" s="93">
        <f t="shared" si="1"/>
        <v>0.18996960486322187</v>
      </c>
      <c r="N35" s="122">
        <f t="shared" si="66"/>
        <v>1.4587389840887868E-4</v>
      </c>
      <c r="O35" s="97">
        <f t="shared" si="67"/>
        <v>1.3128650856799082E-4</v>
      </c>
      <c r="P35" s="123">
        <f t="shared" si="68"/>
        <v>1.193513714254462E-4</v>
      </c>
      <c r="Q35" s="127">
        <f t="shared" si="69"/>
        <v>0.2753303964757709</v>
      </c>
      <c r="R35" s="91">
        <f t="shared" si="70"/>
        <v>0.6899696048632219</v>
      </c>
      <c r="S35" s="92">
        <f t="shared" si="2"/>
        <v>0.2415565345080764</v>
      </c>
      <c r="T35" s="92">
        <f t="shared" si="71"/>
        <v>0.81074787211726007</v>
      </c>
      <c r="U35" s="92" t="e">
        <f t="shared" si="3"/>
        <v>#DIV/0!</v>
      </c>
      <c r="V35" s="118">
        <f t="shared" si="72"/>
        <v>0.36388464813222376</v>
      </c>
      <c r="W35" s="103">
        <f t="shared" si="73"/>
        <v>0.31036041367162737</v>
      </c>
      <c r="X35" s="117">
        <f t="shared" si="4"/>
        <v>0.6899696048632219</v>
      </c>
      <c r="Y35" s="103">
        <f t="shared" si="5"/>
        <v>0.2415565345080764</v>
      </c>
      <c r="Z35" s="103">
        <f t="shared" si="6"/>
        <v>0.59034606949576107</v>
      </c>
      <c r="AA35" s="118">
        <f t="shared" si="7"/>
        <v>0.47545562951248199</v>
      </c>
      <c r="AB35" s="117">
        <f t="shared" si="8"/>
        <v>0</v>
      </c>
      <c r="AC35" s="103">
        <f t="shared" si="9"/>
        <v>0</v>
      </c>
      <c r="AD35" s="103" t="e">
        <f t="shared" si="10"/>
        <v>#DIV/0!</v>
      </c>
      <c r="AE35" s="118">
        <f t="shared" si="11"/>
        <v>0</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163">
        <f t="shared" si="28"/>
        <v>6.9572734593339972E-2</v>
      </c>
      <c r="AW35" s="143">
        <f t="shared" si="74"/>
        <v>0</v>
      </c>
      <c r="AX35" s="154">
        <f t="shared" si="29"/>
        <v>0</v>
      </c>
      <c r="AY35" s="155">
        <v>31</v>
      </c>
      <c r="AZ35" s="156">
        <f t="shared" si="30"/>
        <v>0</v>
      </c>
      <c r="BA35" s="157">
        <f t="shared" si="31"/>
        <v>184.15626937003148</v>
      </c>
      <c r="BB35" s="158">
        <f t="shared" si="32"/>
        <v>6.7953663397541622E-2</v>
      </c>
      <c r="BC35" s="157">
        <f t="shared" si="75"/>
        <v>187.92244006245701</v>
      </c>
      <c r="BD35" s="159">
        <f t="shared" si="33"/>
        <v>6.9343380383046632E-2</v>
      </c>
      <c r="BE35" s="24" t="e">
        <f t="shared" si="34"/>
        <v>#DIV/0!</v>
      </c>
      <c r="BF35" s="27" t="e">
        <f t="shared" si="35"/>
        <v>#DIV/0!</v>
      </c>
      <c r="BG35" s="24" t="e">
        <f t="shared" si="36"/>
        <v>#DIV/0!</v>
      </c>
      <c r="BH35" s="61" t="e">
        <f t="shared" si="37"/>
        <v>#DIV/0!</v>
      </c>
      <c r="BI35" s="24">
        <f t="shared" si="38"/>
        <v>0</v>
      </c>
      <c r="BJ35" s="27" t="e">
        <f t="shared" si="39"/>
        <v>#DIV/0!</v>
      </c>
      <c r="BK35" s="24">
        <f t="shared" si="40"/>
        <v>0</v>
      </c>
      <c r="BL35" s="27">
        <f t="shared" si="41"/>
        <v>0</v>
      </c>
      <c r="BM35" s="24">
        <f t="shared" si="42"/>
        <v>0</v>
      </c>
      <c r="BN35" s="27">
        <f t="shared" si="43"/>
        <v>0</v>
      </c>
      <c r="BO35" s="24">
        <f t="shared" si="44"/>
        <v>0</v>
      </c>
      <c r="BP35" s="27">
        <f t="shared" si="45"/>
        <v>0</v>
      </c>
      <c r="BQ35" s="147">
        <f t="shared" si="46"/>
        <v>0</v>
      </c>
      <c r="BR35" s="27">
        <f t="shared" si="47"/>
        <v>0</v>
      </c>
      <c r="BS35" s="91" t="e">
        <f t="shared" si="76"/>
        <v>#DIV/0!</v>
      </c>
      <c r="BT35" s="101" t="e">
        <f t="shared" si="77"/>
        <v>#DIV/0!</v>
      </c>
      <c r="BU35" s="206" t="e">
        <f t="shared" si="78"/>
        <v>#DIV/0!</v>
      </c>
      <c r="BV35" s="97" t="e">
        <f t="shared" si="79"/>
        <v>#DIV/0!</v>
      </c>
      <c r="BW35" s="123" t="e">
        <f t="shared" si="80"/>
        <v>#DIV/0!</v>
      </c>
      <c r="BX35" s="91">
        <f t="shared" si="81"/>
        <v>2.5261915540322056E-3</v>
      </c>
      <c r="BY35" s="92">
        <f t="shared" si="48"/>
        <v>5.0000000000000001E-3</v>
      </c>
      <c r="BZ35" s="233">
        <f t="shared" si="49"/>
        <v>0</v>
      </c>
      <c r="CA35" s="92">
        <f t="shared" si="50"/>
        <v>0</v>
      </c>
      <c r="CB35" s="92">
        <f t="shared" si="51"/>
        <v>0</v>
      </c>
      <c r="CC35" s="92">
        <f t="shared" si="52"/>
        <v>0</v>
      </c>
      <c r="CD35" s="92">
        <f t="shared" si="53"/>
        <v>0</v>
      </c>
      <c r="CE35" s="127">
        <f t="shared" si="82"/>
        <v>7.5261915540322053E-3</v>
      </c>
      <c r="CF35" s="91">
        <f t="shared" si="83"/>
        <v>1.0465650723847707E-2</v>
      </c>
      <c r="CG35" s="92">
        <f t="shared" si="54"/>
        <v>0.16915294832826749</v>
      </c>
      <c r="CH35" s="92">
        <f t="shared" si="55"/>
        <v>5.1747720364741651E-3</v>
      </c>
      <c r="CI35" s="92">
        <f t="shared" si="56"/>
        <v>0.23688000000000003</v>
      </c>
      <c r="CJ35" s="93">
        <f t="shared" si="57"/>
        <v>0.09</v>
      </c>
      <c r="CK35" s="127">
        <f t="shared" si="84"/>
        <v>0.51167337108858935</v>
      </c>
      <c r="CL35" s="91">
        <f t="shared" si="58"/>
        <v>0.15</v>
      </c>
      <c r="CM35" s="92">
        <f t="shared" si="59"/>
        <v>0</v>
      </c>
      <c r="CN35" s="92">
        <f t="shared" si="60"/>
        <v>0</v>
      </c>
      <c r="CO35" s="92">
        <f t="shared" si="61"/>
        <v>0</v>
      </c>
      <c r="CP35" s="92">
        <f t="shared" si="62"/>
        <v>0</v>
      </c>
      <c r="CQ35" s="92">
        <f t="shared" si="63"/>
        <v>0</v>
      </c>
      <c r="CR35" s="127">
        <f t="shared" si="85"/>
        <v>0.15</v>
      </c>
      <c r="CS35" s="92">
        <f t="shared" si="86"/>
        <v>0.66919956264262159</v>
      </c>
      <c r="CT35" s="92">
        <f t="shared" si="64"/>
        <v>8.1691995626426213</v>
      </c>
      <c r="CU35" s="93">
        <f t="shared" si="65"/>
        <v>0.91808260313497048</v>
      </c>
      <c r="CV35">
        <f t="shared" si="87"/>
        <v>39.480000000000004</v>
      </c>
    </row>
    <row r="36" spans="1:100" ht="15.75" thickBot="1" x14ac:dyDescent="0.3">
      <c r="A36" s="12" t="s">
        <v>118</v>
      </c>
      <c r="B36" s="12" t="e">
        <f>VLOOKUP(ILrms_Total_Max_FBB,U4:AU54,22,FALSE)</f>
        <v>#DIV/0!</v>
      </c>
      <c r="C36" s="12" t="s">
        <v>6</v>
      </c>
      <c r="K36">
        <v>32</v>
      </c>
      <c r="L36" s="91">
        <f t="shared" ref="L36:L54" si="88">VinMin+(K36*DC_Step)</f>
        <v>40.56</v>
      </c>
      <c r="M36" s="93">
        <f t="shared" ref="M36:M54" si="89">Pout_FBB/(L36*eff)</f>
        <v>0.1849112426035503</v>
      </c>
      <c r="N36" s="122">
        <f t="shared" si="66"/>
        <v>1.4803653720661306E-4</v>
      </c>
      <c r="O36" s="97">
        <f t="shared" si="67"/>
        <v>1.3323288348595177E-4</v>
      </c>
      <c r="P36" s="123">
        <f t="shared" si="68"/>
        <v>1.2112080316904702E-4</v>
      </c>
      <c r="Q36" s="127">
        <f t="shared" si="69"/>
        <v>0.26997840172786175</v>
      </c>
      <c r="R36" s="91">
        <f t="shared" si="70"/>
        <v>0.68491124260355041</v>
      </c>
      <c r="S36" s="92">
        <f t="shared" ref="S36:S54" si="90">(L36*Q36)/(Lm_FlyBB*Fsw)</f>
        <v>0.24334053275737944</v>
      </c>
      <c r="T36" s="92">
        <f t="shared" si="71"/>
        <v>0.80658150898224013</v>
      </c>
      <c r="U36" s="92" t="e">
        <f t="shared" ref="U36:U54" si="91">SUM(V36,(Ns1_FlyBB/Np)*Z36,(Ns2_FlyBB/Np)*AD36,(Ns3_FlyBB/Np)*AH36,(Ns4_FlyBB/Np)*AL36,(Ns5_FlyBB/Np)*AP36,(Ns6_FlyBB/Np)*AT36)</f>
        <v>#DIV/0!</v>
      </c>
      <c r="V36" s="118">
        <f t="shared" si="72"/>
        <v>0.35774294011209107</v>
      </c>
      <c r="W36" s="103">
        <f t="shared" si="73"/>
        <v>0.30624800988554052</v>
      </c>
      <c r="X36" s="117">
        <f t="shared" ref="X36:X54" si="92">IF(AND(Vout1&lt;&gt;0,Iout1&lt;&gt;0,Ns1_FlyBB&lt;&gt;0),(Iout1/(1-Q36)),0)</f>
        <v>0.68491124260355019</v>
      </c>
      <c r="Y36" s="103">
        <f t="shared" ref="Y36:Y54" si="93">IF(AND(Vout1&lt;&gt;0,Iout1&lt;&gt;0,Ns1_FlyBB&lt;&gt;0),(ABS(Vout1)*(1-Q36))/(((n1_FlyBB/Np)^2)*Lm_FlyBB*Fsw),0)</f>
        <v>0.24334053275737946</v>
      </c>
      <c r="Z36" s="103">
        <f t="shared" ref="Z36:Z54" si="94">IF(AND(Vout1&lt;&gt;0,Iout1&lt;&gt;0,Ns1_FlyB&lt;&gt;0),X36*SQRT(1-Q36)*SQRT(1+((1/3)*((Y36/(2*X36))^2))),0)</f>
        <v>0.58826690395169834</v>
      </c>
      <c r="AA36" s="118">
        <f t="shared" ref="AA36:AA54" si="95">IF(AND(Vout1&lt;&gt;0,Iout1&lt;&gt;0,Ns1_FlyB&lt;&gt;0),SQRT((X36^2)-(Iout1^2)),0)</f>
        <v>0.46808483231647141</v>
      </c>
      <c r="AB36" s="117">
        <f t="shared" ref="AB36:AB54" si="96">IF(AND(Vout2&lt;&gt;0,Iout2&lt;&gt;0,Ns2_FlyBB&lt;&gt;0),(Iout2/(1-Q36)),0)</f>
        <v>0</v>
      </c>
      <c r="AC36" s="103">
        <f t="shared" ref="AC36:AC54" si="97">IF(AND(Vout2&lt;&gt;0,Iout2&lt;&gt;0,Ns2_FlyBB&lt;&gt;0),(ABS(Vout2)*(1-Q36))/(((n2_FlyBB/Np)^2)*Lm_FlyBB*Fsw),0)</f>
        <v>0</v>
      </c>
      <c r="AD36" s="103" t="e">
        <f t="shared" ref="AD36:AD54" si="98">IF(AND(Vout1&lt;&gt;0,Iout1&lt;&gt;0,Ns1_FlyB&lt;&gt;0),AB36*SQRT(1-Q36)*SQRT(1+((1/3)*((AC36/(2*AB36))^2))),0)</f>
        <v>#DIV/0!</v>
      </c>
      <c r="AE36" s="118">
        <f t="shared" ref="AE36:AE54" si="99">IF(AND(Vout2&lt;&gt;0,Iout2&lt;&gt;0,Ns2_FlyB&lt;&gt;0),SQRT((AD36^2)-(Iout2^2)),0)</f>
        <v>0</v>
      </c>
      <c r="AF36" s="117">
        <f t="shared" ref="AF36:AF54" si="100">IF(AND(Vout3&lt;&gt;0,Iout3&lt;&gt;0,Ns3_FlyBB&lt;&gt;0),(Iout3/(1-Q36)),0)</f>
        <v>0</v>
      </c>
      <c r="AG36" s="103">
        <f t="shared" ref="AG36:AG54" si="101">IF(AND(Vout3&lt;&gt;0,Iout3&lt;&gt;0,Ns3_FlyBB&lt;&gt;0),(ABS(Vout3)*(1-Q36))/(((n3_FlyBB/Np)^2)*Lm_FlyBB*Fsw),0)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IF(AND(Vout4&lt;&gt;0,Iout4&lt;&gt;0,Ns4_FlyBB&lt;&gt;0),(Iout4/(1-Q36)),0)</f>
        <v>0</v>
      </c>
      <c r="AK36" s="103">
        <f t="shared" ref="AK36:AK54" si="105">IF(AND(Vout4&lt;&gt;0,Iout4&lt;&gt;0,Ns4_FlyBB&lt;&gt;0),(ABS(Vout4)*(1-Q36))/(((n4_FlyBB/Np)^2)*Lm_FlyBB*Fsw),0)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IF(AND(Vout5&lt;&gt;0,Iout5&lt;&gt;0,Ns5_FlyBB&lt;&gt;0),(Iout5/(1-Q36)),0)</f>
        <v>0</v>
      </c>
      <c r="AO36" s="103">
        <f t="shared" ref="AO36:AO54" si="109">IF(AND(Vout5&lt;&gt;0,Iout5&lt;&gt;0,Ns5_FlyBB&lt;&gt;0),(ABS(Vout5)*(1-Q36))/(((n5_FlyBB/Np)^2)*Lm_FlyBB*Fsw),0)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IF(AND(Vout6&lt;&gt;0,Iout6&lt;&gt;0,Ns6_FlyBB&lt;&gt;0),(Iout6/(1-Q36)),0)</f>
        <v>0</v>
      </c>
      <c r="AS36" s="103">
        <f t="shared" ref="AS36:AS54" si="113">IF(AND(Vout6&lt;&gt;0,Iout6&lt;&gt;0,Ns6_FlyBB&lt;&gt;0),(ABS(Vout6)*(1-Q36))/(((n6_FlyBB/Np)^2)*Lm_FlyBB*Fsw),0)</f>
        <v>0</v>
      </c>
      <c r="AT36" s="103">
        <f t="shared" ref="AT36:AT54" si="114">IF(AND(Vout6&lt;&gt;0,Iout6&lt;&gt;0,Ns6_FlyB&lt;&gt;0),AR36*SQRT(1-Q36)*SQRT(1+((1/3)*((AS36/(2*AR36))^2))),0)</f>
        <v>0</v>
      </c>
      <c r="AU36" s="118">
        <f t="shared" ref="AU36:AU54" si="115">IF(AND(Vout6&lt;&gt;0,Iout6&lt;&gt;0,Ns6_FlyB&lt;&gt;0),SQRT((AT36^2)-(Iout1^2)),0)</f>
        <v>0</v>
      </c>
      <c r="AV36" s="163">
        <f t="shared" ref="AV36:AV54" si="116">(((L36)*Q36)/(2*Np_T_FB*(Ae_FB/100)*Fsw))*(10^4)</f>
        <v>7.0086558973899593E-2</v>
      </c>
      <c r="AW36" s="143">
        <f t="shared" si="74"/>
        <v>0</v>
      </c>
      <c r="AX36" s="154">
        <f t="shared" ref="AX36:AX54" si="117">AW36*(Ve_FBB/1000)</f>
        <v>0</v>
      </c>
      <c r="AY36" s="155">
        <v>32</v>
      </c>
      <c r="AZ36" s="156">
        <f t="shared" ref="AZ36:AZ54" si="118">CM_3F36*(Fsw^x_3F36)*(AV36^y_3F36)*(TC_3F36)*(Ve_FBB/1000)</f>
        <v>0</v>
      </c>
      <c r="BA36" s="157">
        <f t="shared" ref="BA36:BA54" si="119">CM_3C92*(Fsw^x_3C92)*(AV36^y_3C92)*(TC_3C92)/1000</f>
        <v>187.79627564670386</v>
      </c>
      <c r="BB36" s="158">
        <f t="shared" ref="BB36:BB54" si="120">(Ve_FBB/1000)*BA36/1000</f>
        <v>6.9296825713633728E-2</v>
      </c>
      <c r="BC36" s="157">
        <f t="shared" si="75"/>
        <v>191.35507143742026</v>
      </c>
      <c r="BD36" s="159">
        <f t="shared" ref="BD36:BD54" si="121">((Ve_FBB/1000)*BC36)/1000</f>
        <v>7.0610021360408087E-2</v>
      </c>
      <c r="BE36" s="24" t="e">
        <f t="shared" ref="BE36:BE54" si="122">(M36^2)*RdcPri_FBB</f>
        <v>#DIV/0!</v>
      </c>
      <c r="BF36" s="27" t="e">
        <f t="shared" ref="BF36:BF54" si="123">(W36^2)*(RacPri_FBB)</f>
        <v>#DIV/0!</v>
      </c>
      <c r="BG36" s="24" t="e">
        <f t="shared" ref="BG36:BG54" si="124">(Iout1^2)*Rdc1_FBB</f>
        <v>#DIV/0!</v>
      </c>
      <c r="BH36" s="61" t="e">
        <f t="shared" ref="BH36:BH54" si="125">(Z36^2)*Rac1_FBB</f>
        <v>#DIV/0!</v>
      </c>
      <c r="BI36" s="24">
        <f t="shared" ref="BI36:BI54" si="126">(Iout2^2)*Rdc2_FBB</f>
        <v>0</v>
      </c>
      <c r="BJ36" s="27" t="e">
        <f t="shared" ref="BJ36:BJ54" si="127">(AD36^2)*Rac2_FBB</f>
        <v>#DIV/0!</v>
      </c>
      <c r="BK36" s="24">
        <f t="shared" ref="BK36:BK54" si="128">(Iout3^2)*Rdc3_FBB</f>
        <v>0</v>
      </c>
      <c r="BL36" s="27">
        <f t="shared" ref="BL36:BL54" si="129">(AH36^2)*Rac3_FBB</f>
        <v>0</v>
      </c>
      <c r="BM36" s="24">
        <f t="shared" ref="BM36:BM54" si="130">(Iout4^2)*Rdc4_FBB</f>
        <v>0</v>
      </c>
      <c r="BN36" s="27">
        <f t="shared" ref="BN36:BN54" si="131">(AL36^2)*Rac4_FBB</f>
        <v>0</v>
      </c>
      <c r="BO36" s="24">
        <f t="shared" ref="BO36:BO54" si="132">(Iout5^2)*Rdc5_FBB</f>
        <v>0</v>
      </c>
      <c r="BP36" s="27">
        <f t="shared" ref="BP36:BP54" si="133">(AP36^2)*Rac5_FBB</f>
        <v>0</v>
      </c>
      <c r="BQ36" s="147">
        <f t="shared" ref="BQ36:BQ54" si="134">(Iout6^2)*Rdc6_FBB</f>
        <v>0</v>
      </c>
      <c r="BR36" s="27">
        <f t="shared" ref="BR36:BR54" si="135">(AT36^2)*Rac6_FBB</f>
        <v>0</v>
      </c>
      <c r="BS36" s="91" t="e">
        <f t="shared" si="76"/>
        <v>#DIV/0!</v>
      </c>
      <c r="BT36" s="101" t="e">
        <f t="shared" si="77"/>
        <v>#DIV/0!</v>
      </c>
      <c r="BU36" s="206" t="e">
        <f t="shared" si="78"/>
        <v>#DIV/0!</v>
      </c>
      <c r="BV36" s="97" t="e">
        <f t="shared" si="79"/>
        <v>#DIV/0!</v>
      </c>
      <c r="BW36" s="123" t="e">
        <f t="shared" si="80"/>
        <v>#DIV/0!</v>
      </c>
      <c r="BX36" s="91">
        <f t="shared" si="81"/>
        <v>2.3934517348832328E-3</v>
      </c>
      <c r="BY36" s="92">
        <f t="shared" ref="BY36:BY54" si="136">IF(AND(Vout1&lt;&gt;0,Iout1&lt;&gt;0),(Iout1^2)*($B$79),0)</f>
        <v>5.0000000000000001E-3</v>
      </c>
      <c r="BZ36" s="233">
        <f t="shared" ref="BZ36:BZ54" si="137">IF(AND(Vout2&lt;&gt;0,Iout2&lt;&gt;0),(Iout2^2)*($B$80),0)</f>
        <v>0</v>
      </c>
      <c r="CA36" s="92">
        <f t="shared" ref="CA36:CA54" si="138">IF(AND(Vout3&lt;&gt;0,Iout3&lt;&gt;0),(Iout3^2)*($B$81),0)</f>
        <v>0</v>
      </c>
      <c r="CB36" s="92">
        <f t="shared" ref="CB36:CB54" si="139">IF(AND(Vout4&lt;&gt;0,Iout4&lt;&gt;0),(Iout4^2)*($B$82),0)</f>
        <v>0</v>
      </c>
      <c r="CC36" s="92">
        <f t="shared" ref="CC36:CC54" si="140">IF(AND(Vout5&lt;&gt;0,Iout5&lt;&gt;0),(Iout5^2)*($B$83),0)</f>
        <v>0</v>
      </c>
      <c r="CD36" s="92">
        <f t="shared" ref="CD36:CD54" si="141">IF(AND(Vout6&lt;&gt;0,Iout6&lt;&gt;0),(Iout6^2)*($B$84),0)</f>
        <v>0</v>
      </c>
      <c r="CE36" s="127">
        <f t="shared" si="82"/>
        <v>7.3934517348832329E-3</v>
      </c>
      <c r="CF36" s="91">
        <f t="shared" si="83"/>
        <v>9.9157286159448198E-3</v>
      </c>
      <c r="CG36" s="92">
        <f t="shared" ref="CG36:CG54" si="142">0.5*(L36+ABS(VoutPri_FBB))*R36*T_Rise_Fall*Fsw</f>
        <v>0.17124150887573972</v>
      </c>
      <c r="CH36" s="92">
        <f t="shared" ref="CH36:CH54" si="143">R36*$B$76*Fsw</f>
        <v>5.1368343195266281E-3</v>
      </c>
      <c r="CI36" s="92">
        <f t="shared" ref="CI36:CI54" si="144">$B$77*L36*Fsw</f>
        <v>0.24336000000000002</v>
      </c>
      <c r="CJ36" s="93">
        <f t="shared" ref="CJ36:CJ54" si="145">($B$70*$B$68*Fsw)+($B$72*$B$68*Fsw)</f>
        <v>0.09</v>
      </c>
      <c r="CK36" s="127">
        <f t="shared" si="84"/>
        <v>0.51965407181121115</v>
      </c>
      <c r="CL36" s="91">
        <f t="shared" ref="CL36:CL54" si="146">IF(AND(Vout1&lt;&gt;0,Iout1&lt;&gt;0,Vdiode1&lt;&gt;0),(Vdiode1*Iout1),0)</f>
        <v>0.15</v>
      </c>
      <c r="CM36" s="92">
        <f t="shared" ref="CM36:CM54" si="147">IF(AND(Vout2&lt;&gt;0,Iout2&lt;&gt;0,Vdiode2&lt;&gt;0),(Vdiode2*Iout2),0)</f>
        <v>0</v>
      </c>
      <c r="CN36" s="92">
        <f t="shared" ref="CN36:CN54" si="148">IF(AND(Vout3&lt;&gt;0,Iout3&lt;&gt;0,Vdiode3&lt;&gt;0),(Vdiode3*Iout3),0)</f>
        <v>0</v>
      </c>
      <c r="CO36" s="92">
        <f t="shared" ref="CO36:CO54" si="149">IF(AND(Vout4&lt;&gt;0,Iout4&lt;&gt;0,Vdiode4&lt;&gt;0),(Vdiode4*Iout4),0)</f>
        <v>0</v>
      </c>
      <c r="CP36" s="92">
        <f t="shared" ref="CP36:CP54" si="150">IF(AND(Vout5&lt;&gt;0,Iout5&lt;&gt;0,Vdiode5&lt;&gt;0),(Vdiode5*Iout5),0)</f>
        <v>0</v>
      </c>
      <c r="CQ36" s="92">
        <f t="shared" ref="CQ36:CQ54" si="151">IF(AND(Vout6&lt;&gt;0,Iout6&lt;&gt;0,Vdiode6&lt;&gt;0),(Vdiode6*Iout6),0)</f>
        <v>0</v>
      </c>
      <c r="CR36" s="127">
        <f t="shared" si="85"/>
        <v>0.15</v>
      </c>
      <c r="CS36" s="92">
        <f t="shared" si="86"/>
        <v>0.67704752354609443</v>
      </c>
      <c r="CT36" s="92">
        <f t="shared" ref="CT36:CT54" si="152">CS36+Pout_FBB</f>
        <v>8.1770475235460935</v>
      </c>
      <c r="CU36" s="93">
        <f t="shared" ref="CU36:CU54" si="153">Pout_FBB/CT36</f>
        <v>0.91720146891692733</v>
      </c>
      <c r="CV36">
        <f t="shared" si="87"/>
        <v>40.56</v>
      </c>
    </row>
    <row r="37" spans="1:100" ht="15.75" thickBot="1" x14ac:dyDescent="0.3">
      <c r="A37" s="12" t="s">
        <v>117</v>
      </c>
      <c r="B37" s="12" t="e">
        <f>VLOOKUP(ILrms_Total_Max_FBB,U4:AU54,26,FALSE)</f>
        <v>#DIV/0!</v>
      </c>
      <c r="C37" s="12" t="s">
        <v>6</v>
      </c>
      <c r="K37">
        <v>33</v>
      </c>
      <c r="L37" s="91">
        <f t="shared" si="88"/>
        <v>41.64</v>
      </c>
      <c r="M37" s="93">
        <f t="shared" si="89"/>
        <v>0.18011527377521613</v>
      </c>
      <c r="N37" s="122">
        <f t="shared" si="66"/>
        <v>1.5013171701937502E-4</v>
      </c>
      <c r="O37" s="97">
        <f t="shared" si="67"/>
        <v>1.3511854531743754E-4</v>
      </c>
      <c r="P37" s="123">
        <f t="shared" si="68"/>
        <v>1.2283504119767045E-4</v>
      </c>
      <c r="Q37" s="127">
        <f t="shared" si="69"/>
        <v>0.26483050847457629</v>
      </c>
      <c r="R37" s="91">
        <f t="shared" si="70"/>
        <v>0.68011527377521608</v>
      </c>
      <c r="S37" s="92">
        <f t="shared" si="90"/>
        <v>0.2450564971751413</v>
      </c>
      <c r="T37" s="92">
        <f t="shared" si="71"/>
        <v>0.80264352236278669</v>
      </c>
      <c r="U37" s="92" t="e">
        <f t="shared" si="91"/>
        <v>#DIV/0!</v>
      </c>
      <c r="V37" s="118">
        <f t="shared" si="72"/>
        <v>0.35188700463824441</v>
      </c>
      <c r="W37" s="103">
        <f t="shared" si="73"/>
        <v>0.30229613326365057</v>
      </c>
      <c r="X37" s="117">
        <f t="shared" si="92"/>
        <v>0.68011527377521619</v>
      </c>
      <c r="Y37" s="103">
        <f t="shared" si="93"/>
        <v>0.24505649717514125</v>
      </c>
      <c r="Z37" s="103">
        <f t="shared" si="94"/>
        <v>0.58629063795729663</v>
      </c>
      <c r="AA37" s="118">
        <f t="shared" si="95"/>
        <v>0.461038811405653</v>
      </c>
      <c r="AB37" s="117">
        <f t="shared" si="96"/>
        <v>0</v>
      </c>
      <c r="AC37" s="103">
        <f t="shared" si="97"/>
        <v>0</v>
      </c>
      <c r="AD37" s="103" t="e">
        <f t="shared" si="98"/>
        <v>#DIV/0!</v>
      </c>
      <c r="AE37" s="118">
        <f t="shared" si="99"/>
        <v>0</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163">
        <f t="shared" si="116"/>
        <v>7.0580788356895519E-2</v>
      </c>
      <c r="AW37" s="143">
        <f t="shared" si="74"/>
        <v>0</v>
      </c>
      <c r="AX37" s="154">
        <f t="shared" si="117"/>
        <v>0</v>
      </c>
      <c r="AY37" s="155">
        <v>33</v>
      </c>
      <c r="AZ37" s="156">
        <f t="shared" si="118"/>
        <v>0</v>
      </c>
      <c r="BA37" s="157">
        <f t="shared" si="119"/>
        <v>191.33951777136437</v>
      </c>
      <c r="BB37" s="158">
        <f t="shared" si="120"/>
        <v>7.0604282057633458E-2</v>
      </c>
      <c r="BC37" s="157">
        <f t="shared" si="75"/>
        <v>194.69164889192814</v>
      </c>
      <c r="BD37" s="159">
        <f t="shared" si="121"/>
        <v>7.1841218441121485E-2</v>
      </c>
      <c r="BE37" s="24" t="e">
        <f t="shared" si="122"/>
        <v>#DIV/0!</v>
      </c>
      <c r="BF37" s="27" t="e">
        <f t="shared" si="123"/>
        <v>#DIV/0!</v>
      </c>
      <c r="BG37" s="24" t="e">
        <f t="shared" si="124"/>
        <v>#DIV/0!</v>
      </c>
      <c r="BH37" s="61" t="e">
        <f t="shared" si="125"/>
        <v>#DIV/0!</v>
      </c>
      <c r="BI37" s="24">
        <f t="shared" si="126"/>
        <v>0</v>
      </c>
      <c r="BJ37" s="27" t="e">
        <f t="shared" si="127"/>
        <v>#DIV/0!</v>
      </c>
      <c r="BK37" s="24">
        <f t="shared" si="128"/>
        <v>0</v>
      </c>
      <c r="BL37" s="27">
        <f t="shared" si="129"/>
        <v>0</v>
      </c>
      <c r="BM37" s="24">
        <f t="shared" si="130"/>
        <v>0</v>
      </c>
      <c r="BN37" s="27">
        <f t="shared" si="131"/>
        <v>0</v>
      </c>
      <c r="BO37" s="24">
        <f t="shared" si="132"/>
        <v>0</v>
      </c>
      <c r="BP37" s="27">
        <f t="shared" si="133"/>
        <v>0</v>
      </c>
      <c r="BQ37" s="147">
        <f t="shared" si="134"/>
        <v>0</v>
      </c>
      <c r="BR37" s="27">
        <f t="shared" si="135"/>
        <v>0</v>
      </c>
      <c r="BS37" s="91" t="e">
        <f t="shared" si="76"/>
        <v>#DIV/0!</v>
      </c>
      <c r="BT37" s="101" t="e">
        <f t="shared" si="77"/>
        <v>#DIV/0!</v>
      </c>
      <c r="BU37" s="206" t="e">
        <f t="shared" si="78"/>
        <v>#DIV/0!</v>
      </c>
      <c r="BV37" s="97" t="e">
        <f t="shared" si="79"/>
        <v>#DIV/0!</v>
      </c>
      <c r="BW37" s="123" t="e">
        <f t="shared" si="80"/>
        <v>#DIV/0!</v>
      </c>
      <c r="BX37" s="91">
        <f t="shared" si="81"/>
        <v>2.2709058292984742E-3</v>
      </c>
      <c r="BY37" s="92">
        <f t="shared" si="136"/>
        <v>5.0000000000000001E-3</v>
      </c>
      <c r="BZ37" s="233">
        <f t="shared" si="137"/>
        <v>0</v>
      </c>
      <c r="CA37" s="92">
        <f t="shared" si="138"/>
        <v>0</v>
      </c>
      <c r="CB37" s="92">
        <f t="shared" si="139"/>
        <v>0</v>
      </c>
      <c r="CC37" s="92">
        <f t="shared" si="140"/>
        <v>0</v>
      </c>
      <c r="CD37" s="92">
        <f t="shared" si="141"/>
        <v>0</v>
      </c>
      <c r="CE37" s="127">
        <f t="shared" si="82"/>
        <v>7.2709058292984748E-3</v>
      </c>
      <c r="CF37" s="91">
        <f t="shared" si="83"/>
        <v>9.4080384356651069E-3</v>
      </c>
      <c r="CG37" s="92">
        <f t="shared" si="142"/>
        <v>0.17334778097982706</v>
      </c>
      <c r="CH37" s="92">
        <f t="shared" si="143"/>
        <v>5.1008645533141212E-3</v>
      </c>
      <c r="CI37" s="92">
        <f t="shared" si="144"/>
        <v>0.24984000000000001</v>
      </c>
      <c r="CJ37" s="93">
        <f t="shared" si="145"/>
        <v>0.09</v>
      </c>
      <c r="CK37" s="127">
        <f t="shared" si="84"/>
        <v>0.52769668396880631</v>
      </c>
      <c r="CL37" s="91">
        <f t="shared" si="146"/>
        <v>0.15</v>
      </c>
      <c r="CM37" s="92">
        <f t="shared" si="147"/>
        <v>0</v>
      </c>
      <c r="CN37" s="92">
        <f t="shared" si="148"/>
        <v>0</v>
      </c>
      <c r="CO37" s="92">
        <f t="shared" si="149"/>
        <v>0</v>
      </c>
      <c r="CP37" s="92">
        <f t="shared" si="150"/>
        <v>0</v>
      </c>
      <c r="CQ37" s="92">
        <f t="shared" si="151"/>
        <v>0</v>
      </c>
      <c r="CR37" s="127">
        <f t="shared" si="85"/>
        <v>0.15</v>
      </c>
      <c r="CS37" s="92">
        <f t="shared" si="86"/>
        <v>0.68496758979810479</v>
      </c>
      <c r="CT37" s="92">
        <f t="shared" si="152"/>
        <v>8.184967589798104</v>
      </c>
      <c r="CU37" s="93">
        <f t="shared" si="153"/>
        <v>0.91631395209776267</v>
      </c>
      <c r="CV37">
        <f t="shared" si="87"/>
        <v>41.64</v>
      </c>
    </row>
    <row r="38" spans="1:100" ht="15.75" thickBot="1" x14ac:dyDescent="0.3">
      <c r="A38" s="524" t="s">
        <v>288</v>
      </c>
      <c r="B38" s="524"/>
      <c r="C38" s="524"/>
      <c r="K38">
        <v>34</v>
      </c>
      <c r="L38" s="91">
        <f t="shared" si="88"/>
        <v>42.72</v>
      </c>
      <c r="M38" s="93">
        <f t="shared" si="89"/>
        <v>0.175561797752809</v>
      </c>
      <c r="N38" s="122">
        <f t="shared" si="66"/>
        <v>1.5216239748464281E-4</v>
      </c>
      <c r="O38" s="97">
        <f t="shared" si="67"/>
        <v>1.3694615773617852E-4</v>
      </c>
      <c r="P38" s="123">
        <f t="shared" si="68"/>
        <v>1.2449650703288956E-4</v>
      </c>
      <c r="Q38" s="127">
        <f t="shared" si="69"/>
        <v>0.25987525987525989</v>
      </c>
      <c r="R38" s="91">
        <f t="shared" si="70"/>
        <v>0.675561797752809</v>
      </c>
      <c r="S38" s="92">
        <f t="shared" si="90"/>
        <v>0.24670824670824676</v>
      </c>
      <c r="T38" s="92">
        <f t="shared" si="71"/>
        <v>0.79891592110693233</v>
      </c>
      <c r="U38" s="92" t="e">
        <f t="shared" si="91"/>
        <v>#DIV/0!</v>
      </c>
      <c r="V38" s="118">
        <f t="shared" si="72"/>
        <v>0.34629604645869333</v>
      </c>
      <c r="W38" s="103">
        <f t="shared" si="73"/>
        <v>0.29849456772732608</v>
      </c>
      <c r="X38" s="117">
        <f t="shared" si="92"/>
        <v>0.675561797752809</v>
      </c>
      <c r="Y38" s="103">
        <f t="shared" si="93"/>
        <v>0.24670824670824676</v>
      </c>
      <c r="Z38" s="103">
        <f t="shared" si="94"/>
        <v>0.58440984822831354</v>
      </c>
      <c r="AA38" s="118">
        <f t="shared" si="95"/>
        <v>0.45429477498977161</v>
      </c>
      <c r="AB38" s="117">
        <f t="shared" si="96"/>
        <v>0</v>
      </c>
      <c r="AC38" s="103">
        <f t="shared" si="97"/>
        <v>0</v>
      </c>
      <c r="AD38" s="103" t="e">
        <f t="shared" si="98"/>
        <v>#DIV/0!</v>
      </c>
      <c r="AE38" s="118">
        <f t="shared" si="99"/>
        <v>0</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163">
        <f t="shared" si="116"/>
        <v>7.1056522669425901E-2</v>
      </c>
      <c r="AW38" s="143">
        <f t="shared" si="74"/>
        <v>0</v>
      </c>
      <c r="AX38" s="154">
        <f t="shared" si="117"/>
        <v>0</v>
      </c>
      <c r="AY38" s="155">
        <v>34</v>
      </c>
      <c r="AZ38" s="156">
        <f t="shared" si="118"/>
        <v>0</v>
      </c>
      <c r="BA38" s="157">
        <f t="shared" si="119"/>
        <v>194.78929240156793</v>
      </c>
      <c r="BB38" s="158">
        <f t="shared" si="120"/>
        <v>7.1877248896178567E-2</v>
      </c>
      <c r="BC38" s="157">
        <f t="shared" si="75"/>
        <v>197.93574910867474</v>
      </c>
      <c r="BD38" s="159">
        <f t="shared" si="121"/>
        <v>7.3038291421100979E-2</v>
      </c>
      <c r="BE38" s="24" t="e">
        <f t="shared" si="122"/>
        <v>#DIV/0!</v>
      </c>
      <c r="BF38" s="27" t="e">
        <f t="shared" si="123"/>
        <v>#DIV/0!</v>
      </c>
      <c r="BG38" s="24" t="e">
        <f t="shared" si="124"/>
        <v>#DIV/0!</v>
      </c>
      <c r="BH38" s="61" t="e">
        <f t="shared" si="125"/>
        <v>#DIV/0!</v>
      </c>
      <c r="BI38" s="24">
        <f t="shared" si="126"/>
        <v>0</v>
      </c>
      <c r="BJ38" s="27" t="e">
        <f t="shared" si="127"/>
        <v>#DIV/0!</v>
      </c>
      <c r="BK38" s="24">
        <f t="shared" si="128"/>
        <v>0</v>
      </c>
      <c r="BL38" s="27">
        <f t="shared" si="129"/>
        <v>0</v>
      </c>
      <c r="BM38" s="24">
        <f t="shared" si="130"/>
        <v>0</v>
      </c>
      <c r="BN38" s="27">
        <f t="shared" si="131"/>
        <v>0</v>
      </c>
      <c r="BO38" s="24">
        <f t="shared" si="132"/>
        <v>0</v>
      </c>
      <c r="BP38" s="27">
        <f t="shared" si="133"/>
        <v>0</v>
      </c>
      <c r="BQ38" s="147">
        <f t="shared" si="134"/>
        <v>0</v>
      </c>
      <c r="BR38" s="27">
        <f t="shared" si="135"/>
        <v>0</v>
      </c>
      <c r="BS38" s="91" t="e">
        <f t="shared" si="76"/>
        <v>#DIV/0!</v>
      </c>
      <c r="BT38" s="101" t="e">
        <f t="shared" si="77"/>
        <v>#DIV/0!</v>
      </c>
      <c r="BU38" s="206" t="e">
        <f t="shared" si="78"/>
        <v>#DIV/0!</v>
      </c>
      <c r="BV38" s="97" t="e">
        <f t="shared" si="79"/>
        <v>#DIV/0!</v>
      </c>
      <c r="BW38" s="123" t="e">
        <f t="shared" si="80"/>
        <v>#DIV/0!</v>
      </c>
      <c r="BX38" s="91">
        <f t="shared" si="81"/>
        <v>2.1575361381138752E-3</v>
      </c>
      <c r="BY38" s="92">
        <f t="shared" si="136"/>
        <v>5.0000000000000001E-3</v>
      </c>
      <c r="BZ38" s="233">
        <f t="shared" si="137"/>
        <v>0</v>
      </c>
      <c r="CA38" s="92">
        <f t="shared" si="138"/>
        <v>0</v>
      </c>
      <c r="CB38" s="92">
        <f t="shared" si="139"/>
        <v>0</v>
      </c>
      <c r="CC38" s="92">
        <f t="shared" si="140"/>
        <v>0</v>
      </c>
      <c r="CD38" s="92">
        <f t="shared" si="141"/>
        <v>0</v>
      </c>
      <c r="CE38" s="127">
        <f t="shared" si="82"/>
        <v>7.1575361381138753E-3</v>
      </c>
      <c r="CF38" s="91">
        <f t="shared" si="83"/>
        <v>8.9383640007574816E-3</v>
      </c>
      <c r="CG38" s="92">
        <f t="shared" si="142"/>
        <v>0.17547042134831464</v>
      </c>
      <c r="CH38" s="92">
        <f t="shared" si="143"/>
        <v>5.0667134831460679E-3</v>
      </c>
      <c r="CI38" s="92">
        <f t="shared" si="144"/>
        <v>0.25631999999999999</v>
      </c>
      <c r="CJ38" s="93">
        <f t="shared" si="145"/>
        <v>0.09</v>
      </c>
      <c r="CK38" s="127">
        <f t="shared" si="84"/>
        <v>0.53579549883221822</v>
      </c>
      <c r="CL38" s="91">
        <f t="shared" si="146"/>
        <v>0.15</v>
      </c>
      <c r="CM38" s="92">
        <f t="shared" si="147"/>
        <v>0</v>
      </c>
      <c r="CN38" s="92">
        <f t="shared" si="148"/>
        <v>0</v>
      </c>
      <c r="CO38" s="92">
        <f t="shared" si="149"/>
        <v>0</v>
      </c>
      <c r="CP38" s="92">
        <f t="shared" si="150"/>
        <v>0</v>
      </c>
      <c r="CQ38" s="92">
        <f t="shared" si="151"/>
        <v>0</v>
      </c>
      <c r="CR38" s="127">
        <f t="shared" si="85"/>
        <v>0.15</v>
      </c>
      <c r="CS38" s="92">
        <f t="shared" si="86"/>
        <v>0.69295303497033212</v>
      </c>
      <c r="CT38" s="92">
        <f t="shared" si="152"/>
        <v>8.1929530349703317</v>
      </c>
      <c r="CU38" s="93">
        <f t="shared" si="153"/>
        <v>0.91542084618176489</v>
      </c>
      <c r="CV38">
        <f t="shared" si="87"/>
        <v>42.72</v>
      </c>
    </row>
    <row r="39" spans="1:100" ht="15.75" thickBot="1" x14ac:dyDescent="0.3">
      <c r="A39" s="12" t="s">
        <v>418</v>
      </c>
      <c r="B39" s="185">
        <f>(MAX(R4:R54)-IoutPri_FBB)*(B10/(VoutPri_Ripple_FBB*(10^-3)))</f>
        <v>8.3333333333333331E-5</v>
      </c>
      <c r="C39" s="12" t="s">
        <v>343</v>
      </c>
      <c r="K39">
        <v>35</v>
      </c>
      <c r="L39" s="91">
        <f t="shared" si="88"/>
        <v>43.800000000000004</v>
      </c>
      <c r="M39" s="93">
        <f t="shared" si="89"/>
        <v>0.17123287671232876</v>
      </c>
      <c r="N39" s="122">
        <f t="shared" si="66"/>
        <v>1.5413138044333382E-4</v>
      </c>
      <c r="O39" s="97">
        <f t="shared" si="67"/>
        <v>1.3871824239900044E-4</v>
      </c>
      <c r="P39" s="123">
        <f t="shared" si="68"/>
        <v>1.2610749309000039E-4</v>
      </c>
      <c r="Q39" s="127">
        <f t="shared" si="69"/>
        <v>0.25510204081632654</v>
      </c>
      <c r="R39" s="91">
        <f t="shared" si="70"/>
        <v>0.67123287671232867</v>
      </c>
      <c r="S39" s="92">
        <f t="shared" si="90"/>
        <v>0.24829931972789124</v>
      </c>
      <c r="T39" s="92">
        <f t="shared" si="71"/>
        <v>0.79538253657627433</v>
      </c>
      <c r="U39" s="92" t="e">
        <f t="shared" si="91"/>
        <v>#DIV/0!</v>
      </c>
      <c r="V39" s="118">
        <f t="shared" si="72"/>
        <v>0.34095128305009842</v>
      </c>
      <c r="W39" s="103">
        <f t="shared" si="73"/>
        <v>0.2948339860774683</v>
      </c>
      <c r="X39" s="117">
        <f t="shared" si="92"/>
        <v>0.67123287671232867</v>
      </c>
      <c r="Y39" s="103">
        <f t="shared" si="93"/>
        <v>0.24829931972789124</v>
      </c>
      <c r="Z39" s="103">
        <f t="shared" si="94"/>
        <v>0.58261780787017181</v>
      </c>
      <c r="AA39" s="118">
        <f t="shared" si="95"/>
        <v>0.44783208324048007</v>
      </c>
      <c r="AB39" s="117">
        <f t="shared" si="96"/>
        <v>0</v>
      </c>
      <c r="AC39" s="103">
        <f t="shared" si="97"/>
        <v>0</v>
      </c>
      <c r="AD39" s="103" t="e">
        <f t="shared" si="98"/>
        <v>#DIV/0!</v>
      </c>
      <c r="AE39" s="118">
        <f t="shared" si="99"/>
        <v>0</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163">
        <f t="shared" si="116"/>
        <v>7.1514781027618435E-2</v>
      </c>
      <c r="AW39" s="143">
        <f t="shared" si="74"/>
        <v>0</v>
      </c>
      <c r="AX39" s="154">
        <f t="shared" si="117"/>
        <v>0</v>
      </c>
      <c r="AY39" s="155">
        <v>35</v>
      </c>
      <c r="AZ39" s="156">
        <f t="shared" si="118"/>
        <v>0</v>
      </c>
      <c r="BA39" s="157">
        <f t="shared" si="119"/>
        <v>198.14879476212093</v>
      </c>
      <c r="BB39" s="158">
        <f t="shared" si="120"/>
        <v>7.3116905267222615E-2</v>
      </c>
      <c r="BC39" s="157">
        <f t="shared" si="75"/>
        <v>201.09080914831313</v>
      </c>
      <c r="BD39" s="159">
        <f t="shared" si="121"/>
        <v>7.4202508575727549E-2</v>
      </c>
      <c r="BE39" s="24" t="e">
        <f t="shared" si="122"/>
        <v>#DIV/0!</v>
      </c>
      <c r="BF39" s="27" t="e">
        <f t="shared" si="123"/>
        <v>#DIV/0!</v>
      </c>
      <c r="BG39" s="24" t="e">
        <f t="shared" si="124"/>
        <v>#DIV/0!</v>
      </c>
      <c r="BH39" s="61" t="e">
        <f t="shared" si="125"/>
        <v>#DIV/0!</v>
      </c>
      <c r="BI39" s="24">
        <f t="shared" si="126"/>
        <v>0</v>
      </c>
      <c r="BJ39" s="27" t="e">
        <f t="shared" si="127"/>
        <v>#DIV/0!</v>
      </c>
      <c r="BK39" s="24">
        <f t="shared" si="128"/>
        <v>0</v>
      </c>
      <c r="BL39" s="27">
        <f t="shared" si="129"/>
        <v>0</v>
      </c>
      <c r="BM39" s="24">
        <f t="shared" si="130"/>
        <v>0</v>
      </c>
      <c r="BN39" s="27">
        <f t="shared" si="131"/>
        <v>0</v>
      </c>
      <c r="BO39" s="24">
        <f t="shared" si="132"/>
        <v>0</v>
      </c>
      <c r="BP39" s="27">
        <f t="shared" si="133"/>
        <v>0</v>
      </c>
      <c r="BQ39" s="147">
        <f t="shared" si="134"/>
        <v>0</v>
      </c>
      <c r="BR39" s="27">
        <f t="shared" si="135"/>
        <v>0</v>
      </c>
      <c r="BS39" s="91" t="e">
        <f t="shared" si="76"/>
        <v>#DIV/0!</v>
      </c>
      <c r="BT39" s="101" t="e">
        <f t="shared" si="77"/>
        <v>#DIV/0!</v>
      </c>
      <c r="BU39" s="206" t="e">
        <f t="shared" si="78"/>
        <v>#DIV/0!</v>
      </c>
      <c r="BV39" s="97" t="e">
        <f t="shared" si="79"/>
        <v>#DIV/0!</v>
      </c>
      <c r="BW39" s="123" t="e">
        <f t="shared" si="80"/>
        <v>#DIV/0!</v>
      </c>
      <c r="BX39" s="91">
        <f t="shared" si="81"/>
        <v>2.052448864702571E-3</v>
      </c>
      <c r="BY39" s="92">
        <f t="shared" si="136"/>
        <v>5.0000000000000001E-3</v>
      </c>
      <c r="BZ39" s="233">
        <f t="shared" si="137"/>
        <v>0</v>
      </c>
      <c r="CA39" s="92">
        <f t="shared" si="138"/>
        <v>0</v>
      </c>
      <c r="CB39" s="92">
        <f t="shared" si="139"/>
        <v>0</v>
      </c>
      <c r="CC39" s="92">
        <f t="shared" si="140"/>
        <v>0</v>
      </c>
      <c r="CD39" s="92">
        <f t="shared" si="141"/>
        <v>0</v>
      </c>
      <c r="CE39" s="127">
        <f t="shared" si="82"/>
        <v>7.0524488647025711E-3</v>
      </c>
      <c r="CF39" s="91">
        <f t="shared" si="83"/>
        <v>8.5030024394820783E-3</v>
      </c>
      <c r="CG39" s="92">
        <f t="shared" si="142"/>
        <v>0.1776082191780822</v>
      </c>
      <c r="CH39" s="92">
        <f t="shared" si="143"/>
        <v>5.0342465753424647E-3</v>
      </c>
      <c r="CI39" s="92">
        <f t="shared" si="144"/>
        <v>0.26280000000000003</v>
      </c>
      <c r="CJ39" s="93">
        <f t="shared" si="145"/>
        <v>0.09</v>
      </c>
      <c r="CK39" s="127">
        <f t="shared" si="84"/>
        <v>0.54394546819290679</v>
      </c>
      <c r="CL39" s="91">
        <f t="shared" si="146"/>
        <v>0.15</v>
      </c>
      <c r="CM39" s="92">
        <f t="shared" si="147"/>
        <v>0</v>
      </c>
      <c r="CN39" s="92">
        <f t="shared" si="148"/>
        <v>0</v>
      </c>
      <c r="CO39" s="92">
        <f t="shared" si="149"/>
        <v>0</v>
      </c>
      <c r="CP39" s="92">
        <f t="shared" si="150"/>
        <v>0</v>
      </c>
      <c r="CQ39" s="92">
        <f t="shared" si="151"/>
        <v>0</v>
      </c>
      <c r="CR39" s="127">
        <f t="shared" si="85"/>
        <v>0.15</v>
      </c>
      <c r="CS39" s="92">
        <f t="shared" si="86"/>
        <v>0.70099791705760939</v>
      </c>
      <c r="CT39" s="92">
        <f t="shared" si="152"/>
        <v>8.2009979170576095</v>
      </c>
      <c r="CU39" s="93">
        <f t="shared" si="153"/>
        <v>0.9145228514691397</v>
      </c>
      <c r="CV39">
        <f t="shared" si="87"/>
        <v>43.800000000000004</v>
      </c>
    </row>
    <row r="40" spans="1:100" ht="15.75" thickBot="1" x14ac:dyDescent="0.3">
      <c r="A40" s="12" t="s">
        <v>417</v>
      </c>
      <c r="B40" s="176">
        <f>COUTPri_FBB</f>
        <v>8.7999999999999998E-5</v>
      </c>
      <c r="C40" s="12" t="s">
        <v>343</v>
      </c>
      <c r="K40">
        <v>36</v>
      </c>
      <c r="L40" s="91">
        <f t="shared" si="88"/>
        <v>44.88</v>
      </c>
      <c r="M40" s="93">
        <f t="shared" si="89"/>
        <v>0.16711229946524064</v>
      </c>
      <c r="N40" s="122">
        <f t="shared" si="66"/>
        <v>1.5604131888805438E-4</v>
      </c>
      <c r="O40" s="97">
        <f t="shared" si="67"/>
        <v>1.4043718699924894E-4</v>
      </c>
      <c r="P40" s="123">
        <f t="shared" si="68"/>
        <v>1.2767016999931722E-4</v>
      </c>
      <c r="Q40" s="127">
        <f t="shared" si="69"/>
        <v>0.25050100200400799</v>
      </c>
      <c r="R40" s="91">
        <f t="shared" si="70"/>
        <v>0.66711229946524075</v>
      </c>
      <c r="S40" s="92">
        <f t="shared" si="90"/>
        <v>0.24983299933199735</v>
      </c>
      <c r="T40" s="92">
        <f t="shared" si="71"/>
        <v>0.79202879913123947</v>
      </c>
      <c r="U40" s="92" t="e">
        <f t="shared" si="91"/>
        <v>#DIV/0!</v>
      </c>
      <c r="V40" s="118">
        <f t="shared" si="72"/>
        <v>0.33583570475709812</v>
      </c>
      <c r="W40" s="103">
        <f t="shared" si="73"/>
        <v>0.29130585294006112</v>
      </c>
      <c r="X40" s="117">
        <f t="shared" si="92"/>
        <v>0.66711229946524053</v>
      </c>
      <c r="Y40" s="103">
        <f t="shared" si="93"/>
        <v>0.24983299933199737</v>
      </c>
      <c r="Z40" s="103">
        <f t="shared" si="94"/>
        <v>0.58090840655336751</v>
      </c>
      <c r="AA40" s="118">
        <f t="shared" si="95"/>
        <v>0.44163199623419586</v>
      </c>
      <c r="AB40" s="117">
        <f t="shared" si="96"/>
        <v>0</v>
      </c>
      <c r="AC40" s="103">
        <f t="shared" si="97"/>
        <v>0</v>
      </c>
      <c r="AD40" s="103" t="e">
        <f t="shared" si="98"/>
        <v>#DIV/0!</v>
      </c>
      <c r="AE40" s="118">
        <f t="shared" si="99"/>
        <v>0</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163">
        <f t="shared" si="116"/>
        <v>7.1956509024192775E-2</v>
      </c>
      <c r="AW40" s="143">
        <f t="shared" si="74"/>
        <v>0</v>
      </c>
      <c r="AX40" s="154">
        <f t="shared" si="117"/>
        <v>0</v>
      </c>
      <c r="AY40" s="155">
        <v>36</v>
      </c>
      <c r="AZ40" s="156">
        <f t="shared" si="118"/>
        <v>0</v>
      </c>
      <c r="BA40" s="157">
        <f t="shared" si="119"/>
        <v>201.42111651010501</v>
      </c>
      <c r="BB40" s="158">
        <f t="shared" si="120"/>
        <v>7.4324391992228747E-2</v>
      </c>
      <c r="BC40" s="157">
        <f t="shared" si="75"/>
        <v>204.16012884150172</v>
      </c>
      <c r="BD40" s="159">
        <f t="shared" si="121"/>
        <v>7.5335087542514126E-2</v>
      </c>
      <c r="BE40" s="24" t="e">
        <f t="shared" si="122"/>
        <v>#DIV/0!</v>
      </c>
      <c r="BF40" s="27" t="e">
        <f t="shared" si="123"/>
        <v>#DIV/0!</v>
      </c>
      <c r="BG40" s="24" t="e">
        <f t="shared" si="124"/>
        <v>#DIV/0!</v>
      </c>
      <c r="BH40" s="61" t="e">
        <f t="shared" si="125"/>
        <v>#DIV/0!</v>
      </c>
      <c r="BI40" s="24">
        <f t="shared" si="126"/>
        <v>0</v>
      </c>
      <c r="BJ40" s="27" t="e">
        <f t="shared" si="127"/>
        <v>#DIV/0!</v>
      </c>
      <c r="BK40" s="24">
        <f t="shared" si="128"/>
        <v>0</v>
      </c>
      <c r="BL40" s="27">
        <f t="shared" si="129"/>
        <v>0</v>
      </c>
      <c r="BM40" s="24">
        <f t="shared" si="130"/>
        <v>0</v>
      </c>
      <c r="BN40" s="27">
        <f t="shared" si="131"/>
        <v>0</v>
      </c>
      <c r="BO40" s="24">
        <f t="shared" si="132"/>
        <v>0</v>
      </c>
      <c r="BP40" s="27">
        <f t="shared" si="133"/>
        <v>0</v>
      </c>
      <c r="BQ40" s="147">
        <f t="shared" si="134"/>
        <v>0</v>
      </c>
      <c r="BR40" s="27">
        <f t="shared" si="135"/>
        <v>0</v>
      </c>
      <c r="BS40" s="91" t="e">
        <f t="shared" si="76"/>
        <v>#DIV/0!</v>
      </c>
      <c r="BT40" s="101" t="e">
        <f t="shared" si="77"/>
        <v>#DIV/0!</v>
      </c>
      <c r="BU40" s="206" t="e">
        <f t="shared" si="78"/>
        <v>#DIV/0!</v>
      </c>
      <c r="BV40" s="97" t="e">
        <f t="shared" si="79"/>
        <v>#DIV/0!</v>
      </c>
      <c r="BW40" s="123" t="e">
        <f t="shared" si="80"/>
        <v>#DIV/0!</v>
      </c>
      <c r="BX40" s="91">
        <f t="shared" si="81"/>
        <v>1.9548564442792189E-3</v>
      </c>
      <c r="BY40" s="92">
        <f t="shared" si="136"/>
        <v>5.0000000000000001E-3</v>
      </c>
      <c r="BZ40" s="233">
        <f t="shared" si="137"/>
        <v>0</v>
      </c>
      <c r="CA40" s="92">
        <f t="shared" si="138"/>
        <v>0</v>
      </c>
      <c r="CB40" s="92">
        <f t="shared" si="139"/>
        <v>0</v>
      </c>
      <c r="CC40" s="92">
        <f t="shared" si="140"/>
        <v>0</v>
      </c>
      <c r="CD40" s="92">
        <f t="shared" si="141"/>
        <v>0</v>
      </c>
      <c r="CE40" s="127">
        <f t="shared" si="82"/>
        <v>6.954856444279219E-3</v>
      </c>
      <c r="CF40" s="91">
        <f t="shared" si="83"/>
        <v>8.0986909834424772E-3</v>
      </c>
      <c r="CG40" s="92">
        <f t="shared" si="142"/>
        <v>0.17976008021390377</v>
      </c>
      <c r="CH40" s="92">
        <f t="shared" si="143"/>
        <v>5.0033422459893062E-3</v>
      </c>
      <c r="CI40" s="92">
        <f t="shared" si="144"/>
        <v>0.26928000000000002</v>
      </c>
      <c r="CJ40" s="93">
        <f t="shared" si="145"/>
        <v>0.09</v>
      </c>
      <c r="CK40" s="127">
        <f t="shared" si="84"/>
        <v>0.55214211344333552</v>
      </c>
      <c r="CL40" s="91">
        <f t="shared" si="146"/>
        <v>0.15</v>
      </c>
      <c r="CM40" s="92">
        <f t="shared" si="147"/>
        <v>0</v>
      </c>
      <c r="CN40" s="92">
        <f t="shared" si="148"/>
        <v>0</v>
      </c>
      <c r="CO40" s="92">
        <f t="shared" si="149"/>
        <v>0</v>
      </c>
      <c r="CP40" s="92">
        <f t="shared" si="150"/>
        <v>0</v>
      </c>
      <c r="CQ40" s="92">
        <f t="shared" si="151"/>
        <v>0</v>
      </c>
      <c r="CR40" s="127">
        <f t="shared" si="85"/>
        <v>0.15</v>
      </c>
      <c r="CS40" s="92">
        <f t="shared" si="86"/>
        <v>0.70909696988761473</v>
      </c>
      <c r="CT40" s="92">
        <f t="shared" si="152"/>
        <v>8.2090969698876144</v>
      </c>
      <c r="CU40" s="93">
        <f t="shared" si="153"/>
        <v>0.91362058792962186</v>
      </c>
      <c r="CV40">
        <f t="shared" si="87"/>
        <v>44.88</v>
      </c>
    </row>
    <row r="41" spans="1:100" ht="15.75" thickBot="1" x14ac:dyDescent="0.3">
      <c r="A41" s="12" t="s">
        <v>386</v>
      </c>
      <c r="B41" s="176">
        <f>IF(AND(Vout1&lt;&gt;0,Iout1&lt;&gt;0),(Iout1*B10)/(Vout1_Ripple*(10^-3)),0)</f>
        <v>2.380952380952381E-5</v>
      </c>
      <c r="C41" s="12" t="s">
        <v>343</v>
      </c>
      <c r="K41">
        <v>37</v>
      </c>
      <c r="L41" s="91">
        <f t="shared" si="88"/>
        <v>45.96</v>
      </c>
      <c r="M41" s="93">
        <f t="shared" si="89"/>
        <v>0.16318537859007834</v>
      </c>
      <c r="N41" s="122">
        <f t="shared" si="66"/>
        <v>1.5789472551167326E-4</v>
      </c>
      <c r="O41" s="97">
        <f t="shared" si="67"/>
        <v>1.4210525296050593E-4</v>
      </c>
      <c r="P41" s="123">
        <f t="shared" si="68"/>
        <v>1.291865936004599E-4</v>
      </c>
      <c r="Q41" s="127">
        <f t="shared" si="69"/>
        <v>0.24606299212598426</v>
      </c>
      <c r="R41" s="91">
        <f t="shared" si="70"/>
        <v>0.66318537859007831</v>
      </c>
      <c r="S41" s="92">
        <f t="shared" si="90"/>
        <v>0.25131233595800528</v>
      </c>
      <c r="T41" s="92">
        <f t="shared" si="71"/>
        <v>0.78884154656908101</v>
      </c>
      <c r="U41" s="92" t="e">
        <f t="shared" si="91"/>
        <v>#DIV/0!</v>
      </c>
      <c r="V41" s="118">
        <f t="shared" si="72"/>
        <v>0.33093386857090268</v>
      </c>
      <c r="W41" s="103">
        <f t="shared" si="73"/>
        <v>0.2879023403547048</v>
      </c>
      <c r="X41" s="117">
        <f t="shared" si="92"/>
        <v>0.66318537859007831</v>
      </c>
      <c r="Y41" s="103">
        <f t="shared" si="93"/>
        <v>0.25131233595800528</v>
      </c>
      <c r="Z41" s="103">
        <f t="shared" si="94"/>
        <v>0.57927608143735565</v>
      </c>
      <c r="AA41" s="118">
        <f t="shared" si="95"/>
        <v>0.43567745681371384</v>
      </c>
      <c r="AB41" s="117">
        <f t="shared" si="96"/>
        <v>0</v>
      </c>
      <c r="AC41" s="103">
        <f t="shared" si="97"/>
        <v>0</v>
      </c>
      <c r="AD41" s="103" t="e">
        <f t="shared" si="98"/>
        <v>#DIV/0!</v>
      </c>
      <c r="AE41" s="118">
        <f t="shared" si="99"/>
        <v>0</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163">
        <f t="shared" si="116"/>
        <v>7.2382585241360972E-2</v>
      </c>
      <c r="AW41" s="143">
        <f t="shared" si="74"/>
        <v>0</v>
      </c>
      <c r="AX41" s="154">
        <f t="shared" si="117"/>
        <v>0</v>
      </c>
      <c r="AY41" s="155">
        <v>37</v>
      </c>
      <c r="AZ41" s="156">
        <f t="shared" si="118"/>
        <v>0</v>
      </c>
      <c r="BA41" s="157">
        <f t="shared" si="119"/>
        <v>204.60924487962717</v>
      </c>
      <c r="BB41" s="158">
        <f t="shared" si="120"/>
        <v>7.5500811360582412E-2</v>
      </c>
      <c r="BC41" s="157">
        <f t="shared" si="75"/>
        <v>207.14687391551152</v>
      </c>
      <c r="BD41" s="159">
        <f t="shared" si="121"/>
        <v>7.6437196474823749E-2</v>
      </c>
      <c r="BE41" s="24" t="e">
        <f t="shared" si="122"/>
        <v>#DIV/0!</v>
      </c>
      <c r="BF41" s="27" t="e">
        <f t="shared" si="123"/>
        <v>#DIV/0!</v>
      </c>
      <c r="BG41" s="24" t="e">
        <f t="shared" si="124"/>
        <v>#DIV/0!</v>
      </c>
      <c r="BH41" s="61" t="e">
        <f t="shared" si="125"/>
        <v>#DIV/0!</v>
      </c>
      <c r="BI41" s="24">
        <f t="shared" si="126"/>
        <v>0</v>
      </c>
      <c r="BJ41" s="27" t="e">
        <f t="shared" si="127"/>
        <v>#DIV/0!</v>
      </c>
      <c r="BK41" s="24">
        <f t="shared" si="128"/>
        <v>0</v>
      </c>
      <c r="BL41" s="27">
        <f t="shared" si="129"/>
        <v>0</v>
      </c>
      <c r="BM41" s="24">
        <f t="shared" si="130"/>
        <v>0</v>
      </c>
      <c r="BN41" s="27">
        <f t="shared" si="131"/>
        <v>0</v>
      </c>
      <c r="BO41" s="24">
        <f t="shared" si="132"/>
        <v>0</v>
      </c>
      <c r="BP41" s="27">
        <f t="shared" si="133"/>
        <v>0</v>
      </c>
      <c r="BQ41" s="147">
        <f t="shared" si="134"/>
        <v>0</v>
      </c>
      <c r="BR41" s="27">
        <f t="shared" si="135"/>
        <v>0</v>
      </c>
      <c r="BS41" s="91" t="e">
        <f t="shared" si="76"/>
        <v>#DIV/0!</v>
      </c>
      <c r="BT41" s="101" t="e">
        <f t="shared" si="77"/>
        <v>#DIV/0!</v>
      </c>
      <c r="BU41" s="206" t="e">
        <f t="shared" si="78"/>
        <v>#DIV/0!</v>
      </c>
      <c r="BV41" s="97" t="e">
        <f t="shared" si="79"/>
        <v>#DIV/0!</v>
      </c>
      <c r="BW41" s="123" t="e">
        <f t="shared" si="80"/>
        <v>#DIV/0!</v>
      </c>
      <c r="BX41" s="91">
        <f t="shared" si="81"/>
        <v>1.8640627449911038E-3</v>
      </c>
      <c r="BY41" s="92">
        <f t="shared" si="136"/>
        <v>5.0000000000000001E-3</v>
      </c>
      <c r="BZ41" s="233">
        <f t="shared" si="137"/>
        <v>0</v>
      </c>
      <c r="CA41" s="92">
        <f t="shared" si="138"/>
        <v>0</v>
      </c>
      <c r="CB41" s="92">
        <f t="shared" si="139"/>
        <v>0</v>
      </c>
      <c r="CC41" s="92">
        <f t="shared" si="140"/>
        <v>0</v>
      </c>
      <c r="CD41" s="92">
        <f t="shared" si="141"/>
        <v>0</v>
      </c>
      <c r="CE41" s="127">
        <f t="shared" si="82"/>
        <v>6.8640627449911042E-3</v>
      </c>
      <c r="CF41" s="91">
        <f t="shared" si="83"/>
        <v>7.722545657820286E-3</v>
      </c>
      <c r="CG41" s="92">
        <f t="shared" si="142"/>
        <v>0.1819250130548303</v>
      </c>
      <c r="CH41" s="92">
        <f t="shared" si="143"/>
        <v>4.9738903394255874E-3</v>
      </c>
      <c r="CI41" s="92">
        <f t="shared" si="144"/>
        <v>0.27576000000000001</v>
      </c>
      <c r="CJ41" s="93">
        <f t="shared" si="145"/>
        <v>0.09</v>
      </c>
      <c r="CK41" s="127">
        <f t="shared" si="84"/>
        <v>0.56038144905207621</v>
      </c>
      <c r="CL41" s="91">
        <f t="shared" si="146"/>
        <v>0.15</v>
      </c>
      <c r="CM41" s="92">
        <f t="shared" si="147"/>
        <v>0</v>
      </c>
      <c r="CN41" s="92">
        <f t="shared" si="148"/>
        <v>0</v>
      </c>
      <c r="CO41" s="92">
        <f t="shared" si="149"/>
        <v>0</v>
      </c>
      <c r="CP41" s="92">
        <f t="shared" si="150"/>
        <v>0</v>
      </c>
      <c r="CQ41" s="92">
        <f t="shared" si="151"/>
        <v>0</v>
      </c>
      <c r="CR41" s="127">
        <f t="shared" si="85"/>
        <v>0.15</v>
      </c>
      <c r="CS41" s="92">
        <f t="shared" si="86"/>
        <v>0.7172455117970673</v>
      </c>
      <c r="CT41" s="92">
        <f t="shared" si="152"/>
        <v>8.2172455117970671</v>
      </c>
      <c r="CU41" s="93">
        <f t="shared" si="153"/>
        <v>0.9127146060358845</v>
      </c>
      <c r="CV41">
        <f t="shared" si="87"/>
        <v>45.96</v>
      </c>
    </row>
    <row r="42" spans="1:100" ht="15.75" thickBot="1" x14ac:dyDescent="0.3">
      <c r="A42" s="12" t="s">
        <v>387</v>
      </c>
      <c r="B42" s="176">
        <f>COUT1_FBB</f>
        <v>4.3999999999999999E-5</v>
      </c>
      <c r="C42" s="12" t="s">
        <v>343</v>
      </c>
      <c r="K42">
        <v>38</v>
      </c>
      <c r="L42" s="91">
        <f t="shared" si="88"/>
        <v>47.040000000000006</v>
      </c>
      <c r="M42" s="93">
        <f t="shared" si="89"/>
        <v>0.15943877551020405</v>
      </c>
      <c r="N42" s="122">
        <f t="shared" si="66"/>
        <v>1.5969398083888394E-4</v>
      </c>
      <c r="O42" s="97">
        <f t="shared" si="67"/>
        <v>1.4372458275499554E-4</v>
      </c>
      <c r="P42" s="123">
        <f t="shared" si="68"/>
        <v>1.306587115954505E-4</v>
      </c>
      <c r="Q42" s="127">
        <f t="shared" si="69"/>
        <v>0.24177949709864602</v>
      </c>
      <c r="R42" s="91">
        <f t="shared" si="70"/>
        <v>0.65943877551020402</v>
      </c>
      <c r="S42" s="92">
        <f t="shared" si="90"/>
        <v>0.25274016763378471</v>
      </c>
      <c r="T42" s="92">
        <f t="shared" si="71"/>
        <v>0.78580885932709643</v>
      </c>
      <c r="U42" s="92" t="e">
        <f t="shared" si="91"/>
        <v>#DIV/0!</v>
      </c>
      <c r="V42" s="118">
        <f t="shared" si="72"/>
        <v>0.32623172015791496</v>
      </c>
      <c r="W42" s="103">
        <f t="shared" si="73"/>
        <v>0.2846162541054163</v>
      </c>
      <c r="X42" s="117">
        <f t="shared" si="92"/>
        <v>0.65943877551020402</v>
      </c>
      <c r="Y42" s="103">
        <f t="shared" si="93"/>
        <v>0.25274016763378471</v>
      </c>
      <c r="Z42" s="103">
        <f t="shared" si="94"/>
        <v>0.57771575718845902</v>
      </c>
      <c r="AA42" s="118">
        <f t="shared" si="95"/>
        <v>0.42995290282355031</v>
      </c>
      <c r="AB42" s="117">
        <f t="shared" si="96"/>
        <v>0</v>
      </c>
      <c r="AC42" s="103">
        <f t="shared" si="97"/>
        <v>0</v>
      </c>
      <c r="AD42" s="103" t="e">
        <f t="shared" si="98"/>
        <v>#DIV/0!</v>
      </c>
      <c r="AE42" s="118">
        <f t="shared" si="99"/>
        <v>0</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163">
        <f t="shared" si="116"/>
        <v>7.2793827083463325E-2</v>
      </c>
      <c r="AW42" s="143">
        <f t="shared" si="74"/>
        <v>0</v>
      </c>
      <c r="AX42" s="154">
        <f t="shared" si="117"/>
        <v>0</v>
      </c>
      <c r="AY42" s="155">
        <v>38</v>
      </c>
      <c r="AZ42" s="156">
        <f t="shared" si="118"/>
        <v>0</v>
      </c>
      <c r="BA42" s="157">
        <f t="shared" si="119"/>
        <v>207.71606283951505</v>
      </c>
      <c r="BB42" s="158">
        <f t="shared" si="120"/>
        <v>7.6647227187781053E-2</v>
      </c>
      <c r="BC42" s="157">
        <f t="shared" si="75"/>
        <v>210.05407965689983</v>
      </c>
      <c r="BD42" s="159">
        <f t="shared" si="121"/>
        <v>7.7509955393396043E-2</v>
      </c>
      <c r="BE42" s="24" t="e">
        <f t="shared" si="122"/>
        <v>#DIV/0!</v>
      </c>
      <c r="BF42" s="27" t="e">
        <f t="shared" si="123"/>
        <v>#DIV/0!</v>
      </c>
      <c r="BG42" s="24" t="e">
        <f t="shared" si="124"/>
        <v>#DIV/0!</v>
      </c>
      <c r="BH42" s="61" t="e">
        <f t="shared" si="125"/>
        <v>#DIV/0!</v>
      </c>
      <c r="BI42" s="24">
        <f t="shared" si="126"/>
        <v>0</v>
      </c>
      <c r="BJ42" s="27" t="e">
        <f t="shared" si="127"/>
        <v>#DIV/0!</v>
      </c>
      <c r="BK42" s="24">
        <f t="shared" si="128"/>
        <v>0</v>
      </c>
      <c r="BL42" s="27">
        <f t="shared" si="129"/>
        <v>0</v>
      </c>
      <c r="BM42" s="24">
        <f t="shared" si="130"/>
        <v>0</v>
      </c>
      <c r="BN42" s="27">
        <f t="shared" si="131"/>
        <v>0</v>
      </c>
      <c r="BO42" s="24">
        <f t="shared" si="132"/>
        <v>0</v>
      </c>
      <c r="BP42" s="27">
        <f t="shared" si="133"/>
        <v>0</v>
      </c>
      <c r="BQ42" s="147">
        <f t="shared" si="134"/>
        <v>0</v>
      </c>
      <c r="BR42" s="27">
        <f t="shared" si="135"/>
        <v>0</v>
      </c>
      <c r="BS42" s="91" t="e">
        <f t="shared" si="76"/>
        <v>#DIV/0!</v>
      </c>
      <c r="BT42" s="101" t="e">
        <f t="shared" si="77"/>
        <v>#DIV/0!</v>
      </c>
      <c r="BU42" s="206" t="e">
        <f t="shared" si="78"/>
        <v>#DIV/0!</v>
      </c>
      <c r="BV42" s="97" t="e">
        <f t="shared" si="79"/>
        <v>#DIV/0!</v>
      </c>
      <c r="BW42" s="123" t="e">
        <f t="shared" si="80"/>
        <v>#DIV/0!</v>
      </c>
      <c r="BX42" s="91">
        <f t="shared" si="81"/>
        <v>1.7794506195335273E-3</v>
      </c>
      <c r="BY42" s="92">
        <f t="shared" si="136"/>
        <v>5.0000000000000001E-3</v>
      </c>
      <c r="BZ42" s="233">
        <f t="shared" si="137"/>
        <v>0</v>
      </c>
      <c r="CA42" s="92">
        <f t="shared" si="138"/>
        <v>0</v>
      </c>
      <c r="CB42" s="92">
        <f t="shared" si="139"/>
        <v>0</v>
      </c>
      <c r="CC42" s="92">
        <f t="shared" si="140"/>
        <v>0</v>
      </c>
      <c r="CD42" s="92">
        <f t="shared" si="141"/>
        <v>0</v>
      </c>
      <c r="CE42" s="127">
        <f t="shared" si="82"/>
        <v>6.7794506195335271E-3</v>
      </c>
      <c r="CF42" s="91">
        <f t="shared" si="83"/>
        <v>7.3720097094960397E-3</v>
      </c>
      <c r="CG42" s="92">
        <f t="shared" si="142"/>
        <v>0.18410211734693879</v>
      </c>
      <c r="CH42" s="92">
        <f t="shared" si="143"/>
        <v>4.9457908163265309E-3</v>
      </c>
      <c r="CI42" s="92">
        <f t="shared" si="144"/>
        <v>0.28224000000000005</v>
      </c>
      <c r="CJ42" s="93">
        <f t="shared" si="145"/>
        <v>0.09</v>
      </c>
      <c r="CK42" s="127">
        <f t="shared" si="84"/>
        <v>0.56865991787276138</v>
      </c>
      <c r="CL42" s="91">
        <f t="shared" si="146"/>
        <v>0.15</v>
      </c>
      <c r="CM42" s="92">
        <f t="shared" si="147"/>
        <v>0</v>
      </c>
      <c r="CN42" s="92">
        <f t="shared" si="148"/>
        <v>0</v>
      </c>
      <c r="CO42" s="92">
        <f t="shared" si="149"/>
        <v>0</v>
      </c>
      <c r="CP42" s="92">
        <f t="shared" si="150"/>
        <v>0</v>
      </c>
      <c r="CQ42" s="92">
        <f t="shared" si="151"/>
        <v>0</v>
      </c>
      <c r="CR42" s="127">
        <f t="shared" si="85"/>
        <v>0.15</v>
      </c>
      <c r="CS42" s="92">
        <f t="shared" si="86"/>
        <v>0.72543936849229496</v>
      </c>
      <c r="CT42" s="92">
        <f t="shared" si="152"/>
        <v>8.2254393684922942</v>
      </c>
      <c r="CU42" s="93">
        <f t="shared" si="153"/>
        <v>0.91180539591950505</v>
      </c>
      <c r="CV42">
        <f t="shared" si="87"/>
        <v>47.040000000000006</v>
      </c>
    </row>
    <row r="43" spans="1:100" ht="15.75" thickBot="1" x14ac:dyDescent="0.3">
      <c r="A43" s="12" t="s">
        <v>388</v>
      </c>
      <c r="B43" s="176">
        <f>IF(AND(Vout2&lt;&gt;0,Iout2&lt;&gt;0),(Iout2*B10)/(Vout2_Ripple*(10^-3)),0)</f>
        <v>0</v>
      </c>
      <c r="C43" s="12" t="s">
        <v>343</v>
      </c>
      <c r="K43">
        <v>39</v>
      </c>
      <c r="L43" s="91">
        <f t="shared" si="88"/>
        <v>48.120000000000005</v>
      </c>
      <c r="M43" s="93">
        <f t="shared" si="89"/>
        <v>0.15586034912718202</v>
      </c>
      <c r="N43" s="122">
        <f t="shared" si="66"/>
        <v>1.614413409346833E-4</v>
      </c>
      <c r="O43" s="97">
        <f t="shared" si="67"/>
        <v>1.4529720684121502E-4</v>
      </c>
      <c r="P43" s="123">
        <f t="shared" si="68"/>
        <v>1.3208836985565E-4</v>
      </c>
      <c r="Q43" s="127">
        <f t="shared" si="69"/>
        <v>0.23764258555133078</v>
      </c>
      <c r="R43" s="91">
        <f t="shared" si="70"/>
        <v>0.65586034912718205</v>
      </c>
      <c r="S43" s="92">
        <f t="shared" si="90"/>
        <v>0.25411913814955644</v>
      </c>
      <c r="T43" s="92">
        <f t="shared" si="71"/>
        <v>0.78291991820196027</v>
      </c>
      <c r="U43" s="92" t="e">
        <f t="shared" si="91"/>
        <v>#DIV/0!</v>
      </c>
      <c r="V43" s="118">
        <f t="shared" si="72"/>
        <v>0.32171643971483826</v>
      </c>
      <c r="W43" s="103">
        <f t="shared" si="73"/>
        <v>0.28144096921511635</v>
      </c>
      <c r="X43" s="117">
        <f t="shared" si="92"/>
        <v>0.65586034912718205</v>
      </c>
      <c r="Y43" s="103">
        <f t="shared" si="93"/>
        <v>0.25411913814955644</v>
      </c>
      <c r="Z43" s="103">
        <f t="shared" si="94"/>
        <v>0.5762227937227008</v>
      </c>
      <c r="AA43" s="118">
        <f t="shared" si="95"/>
        <v>0.42444410416123007</v>
      </c>
      <c r="AB43" s="117">
        <f t="shared" si="96"/>
        <v>0</v>
      </c>
      <c r="AC43" s="103">
        <f t="shared" si="97"/>
        <v>0</v>
      </c>
      <c r="AD43" s="103" t="e">
        <f t="shared" si="98"/>
        <v>#DIV/0!</v>
      </c>
      <c r="AE43" s="118">
        <f t="shared" si="99"/>
        <v>0</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163">
        <f t="shared" si="116"/>
        <v>7.3190996010816939E-2</v>
      </c>
      <c r="AW43" s="143">
        <f t="shared" si="74"/>
        <v>0</v>
      </c>
      <c r="AX43" s="154">
        <f t="shared" si="117"/>
        <v>0</v>
      </c>
      <c r="AY43" s="155">
        <v>39</v>
      </c>
      <c r="AZ43" s="156">
        <f t="shared" si="118"/>
        <v>0</v>
      </c>
      <c r="BA43" s="157">
        <f t="shared" si="119"/>
        <v>210.74435004654487</v>
      </c>
      <c r="BB43" s="158">
        <f t="shared" si="120"/>
        <v>7.7764665167175048E-2</v>
      </c>
      <c r="BC43" s="157">
        <f t="shared" si="75"/>
        <v>212.88465495228513</v>
      </c>
      <c r="BD43" s="159">
        <f t="shared" si="121"/>
        <v>7.8554437677393216E-2</v>
      </c>
      <c r="BE43" s="24" t="e">
        <f t="shared" si="122"/>
        <v>#DIV/0!</v>
      </c>
      <c r="BF43" s="27" t="e">
        <f t="shared" si="123"/>
        <v>#DIV/0!</v>
      </c>
      <c r="BG43" s="24" t="e">
        <f t="shared" si="124"/>
        <v>#DIV/0!</v>
      </c>
      <c r="BH43" s="61" t="e">
        <f t="shared" si="125"/>
        <v>#DIV/0!</v>
      </c>
      <c r="BI43" s="24">
        <f t="shared" si="126"/>
        <v>0</v>
      </c>
      <c r="BJ43" s="27" t="e">
        <f t="shared" si="127"/>
        <v>#DIV/0!</v>
      </c>
      <c r="BK43" s="24">
        <f t="shared" si="128"/>
        <v>0</v>
      </c>
      <c r="BL43" s="27">
        <f t="shared" si="129"/>
        <v>0</v>
      </c>
      <c r="BM43" s="24">
        <f t="shared" si="130"/>
        <v>0</v>
      </c>
      <c r="BN43" s="27">
        <f t="shared" si="131"/>
        <v>0</v>
      </c>
      <c r="BO43" s="24">
        <f t="shared" si="132"/>
        <v>0</v>
      </c>
      <c r="BP43" s="27">
        <f t="shared" si="133"/>
        <v>0</v>
      </c>
      <c r="BQ43" s="147">
        <f t="shared" si="134"/>
        <v>0</v>
      </c>
      <c r="BR43" s="27">
        <f t="shared" si="135"/>
        <v>0</v>
      </c>
      <c r="BS43" s="91" t="e">
        <f t="shared" si="76"/>
        <v>#DIV/0!</v>
      </c>
      <c r="BT43" s="101" t="e">
        <f t="shared" si="77"/>
        <v>#DIV/0!</v>
      </c>
      <c r="BU43" s="206" t="e">
        <f t="shared" si="78"/>
        <v>#DIV/0!</v>
      </c>
      <c r="BV43" s="97" t="e">
        <f t="shared" si="79"/>
        <v>#DIV/0!</v>
      </c>
      <c r="BW43" s="123" t="e">
        <f t="shared" si="80"/>
        <v>#DIV/0!</v>
      </c>
      <c r="BX43" s="91">
        <f t="shared" si="81"/>
        <v>1.700471390103295E-3</v>
      </c>
      <c r="BY43" s="92">
        <f t="shared" si="136"/>
        <v>5.0000000000000001E-3</v>
      </c>
      <c r="BZ43" s="233">
        <f t="shared" si="137"/>
        <v>0</v>
      </c>
      <c r="CA43" s="92">
        <f t="shared" si="138"/>
        <v>0</v>
      </c>
      <c r="CB43" s="92">
        <f t="shared" si="139"/>
        <v>0</v>
      </c>
      <c r="CC43" s="92">
        <f t="shared" si="140"/>
        <v>0</v>
      </c>
      <c r="CD43" s="92">
        <f t="shared" si="141"/>
        <v>0</v>
      </c>
      <c r="CE43" s="127">
        <f t="shared" si="82"/>
        <v>6.7004713901032947E-3</v>
      </c>
      <c r="CF43" s="91">
        <f t="shared" si="83"/>
        <v>7.0448100447136498E-3</v>
      </c>
      <c r="CG43" s="92">
        <f t="shared" si="142"/>
        <v>0.18629057356608483</v>
      </c>
      <c r="CH43" s="92">
        <f t="shared" si="143"/>
        <v>4.9189526184538661E-3</v>
      </c>
      <c r="CI43" s="92">
        <f t="shared" si="144"/>
        <v>0.28872000000000003</v>
      </c>
      <c r="CJ43" s="93">
        <f t="shared" si="145"/>
        <v>0.09</v>
      </c>
      <c r="CK43" s="127">
        <f t="shared" si="84"/>
        <v>0.57697433622925243</v>
      </c>
      <c r="CL43" s="91">
        <f t="shared" si="146"/>
        <v>0.15</v>
      </c>
      <c r="CM43" s="92">
        <f t="shared" si="147"/>
        <v>0</v>
      </c>
      <c r="CN43" s="92">
        <f t="shared" si="148"/>
        <v>0</v>
      </c>
      <c r="CO43" s="92">
        <f t="shared" si="149"/>
        <v>0</v>
      </c>
      <c r="CP43" s="92">
        <f t="shared" si="150"/>
        <v>0</v>
      </c>
      <c r="CQ43" s="92">
        <f t="shared" si="151"/>
        <v>0</v>
      </c>
      <c r="CR43" s="127">
        <f t="shared" si="85"/>
        <v>0.15</v>
      </c>
      <c r="CS43" s="92">
        <f t="shared" si="86"/>
        <v>0.73367480761935577</v>
      </c>
      <c r="CT43" s="92">
        <f t="shared" si="152"/>
        <v>8.2336748076193551</v>
      </c>
      <c r="CU43" s="93">
        <f t="shared" si="153"/>
        <v>0.91089339514108325</v>
      </c>
      <c r="CV43">
        <f t="shared" si="87"/>
        <v>48.120000000000005</v>
      </c>
    </row>
    <row r="44" spans="1:100" ht="15.75" thickBot="1" x14ac:dyDescent="0.3">
      <c r="A44" s="12" t="s">
        <v>389</v>
      </c>
      <c r="B44" s="176">
        <f>COUT2_FBB</f>
        <v>1.9999999999999998E-5</v>
      </c>
      <c r="C44" s="12" t="s">
        <v>343</v>
      </c>
      <c r="K44">
        <v>40</v>
      </c>
      <c r="L44" s="91">
        <f t="shared" si="88"/>
        <v>49.2</v>
      </c>
      <c r="M44" s="93">
        <f t="shared" si="89"/>
        <v>0.1524390243902439</v>
      </c>
      <c r="N44" s="122">
        <f t="shared" si="66"/>
        <v>1.6313894469191872E-4</v>
      </c>
      <c r="O44" s="97">
        <f t="shared" si="67"/>
        <v>1.4682505022272689E-4</v>
      </c>
      <c r="P44" s="123">
        <f t="shared" si="68"/>
        <v>1.3347731838429715E-4</v>
      </c>
      <c r="Q44" s="127">
        <f t="shared" si="69"/>
        <v>0.23364485981308411</v>
      </c>
      <c r="R44" s="91">
        <f t="shared" si="70"/>
        <v>0.65243902439024393</v>
      </c>
      <c r="S44" s="92">
        <f t="shared" si="90"/>
        <v>0.25545171339563866</v>
      </c>
      <c r="T44" s="92">
        <f t="shared" si="71"/>
        <v>0.78016488108806326</v>
      </c>
      <c r="U44" s="92" t="e">
        <f t="shared" si="91"/>
        <v>#DIV/0!</v>
      </c>
      <c r="V44" s="118">
        <f t="shared" si="72"/>
        <v>0.31737630800191213</v>
      </c>
      <c r="W44" s="103">
        <f t="shared" si="73"/>
        <v>0.27837037328687692</v>
      </c>
      <c r="X44" s="117">
        <f t="shared" si="92"/>
        <v>0.65243902439024393</v>
      </c>
      <c r="Y44" s="103">
        <f t="shared" si="93"/>
        <v>0.25545171339563866</v>
      </c>
      <c r="Z44" s="103">
        <f t="shared" si="94"/>
        <v>0.57479294053548768</v>
      </c>
      <c r="AA44" s="118">
        <f t="shared" si="95"/>
        <v>0.41913802088010732</v>
      </c>
      <c r="AB44" s="117">
        <f t="shared" si="96"/>
        <v>0</v>
      </c>
      <c r="AC44" s="103">
        <f t="shared" si="97"/>
        <v>0</v>
      </c>
      <c r="AD44" s="103" t="e">
        <f t="shared" si="98"/>
        <v>#DIV/0!</v>
      </c>
      <c r="AE44" s="118">
        <f t="shared" si="99"/>
        <v>0</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163">
        <f t="shared" si="116"/>
        <v>7.3574802245287632E-2</v>
      </c>
      <c r="AW44" s="143">
        <f t="shared" si="74"/>
        <v>0</v>
      </c>
      <c r="AX44" s="154">
        <f t="shared" si="117"/>
        <v>0</v>
      </c>
      <c r="AY44" s="155">
        <v>40</v>
      </c>
      <c r="AZ44" s="156">
        <f t="shared" si="118"/>
        <v>0</v>
      </c>
      <c r="BA44" s="157">
        <f t="shared" si="119"/>
        <v>213.69678441703979</v>
      </c>
      <c r="BB44" s="158">
        <f t="shared" si="120"/>
        <v>7.8854113449887672E-2</v>
      </c>
      <c r="BC44" s="157">
        <f t="shared" si="75"/>
        <v>215.64138658185058</v>
      </c>
      <c r="BD44" s="159">
        <f t="shared" si="121"/>
        <v>7.9571671648702866E-2</v>
      </c>
      <c r="BE44" s="24" t="e">
        <f t="shared" si="122"/>
        <v>#DIV/0!</v>
      </c>
      <c r="BF44" s="27" t="e">
        <f t="shared" si="123"/>
        <v>#DIV/0!</v>
      </c>
      <c r="BG44" s="24" t="e">
        <f t="shared" si="124"/>
        <v>#DIV/0!</v>
      </c>
      <c r="BH44" s="61" t="e">
        <f t="shared" si="125"/>
        <v>#DIV/0!</v>
      </c>
      <c r="BI44" s="24">
        <f t="shared" si="126"/>
        <v>0</v>
      </c>
      <c r="BJ44" s="27" t="e">
        <f t="shared" si="127"/>
        <v>#DIV/0!</v>
      </c>
      <c r="BK44" s="24">
        <f t="shared" si="128"/>
        <v>0</v>
      </c>
      <c r="BL44" s="27">
        <f t="shared" si="129"/>
        <v>0</v>
      </c>
      <c r="BM44" s="24">
        <f t="shared" si="130"/>
        <v>0</v>
      </c>
      <c r="BN44" s="27">
        <f t="shared" si="131"/>
        <v>0</v>
      </c>
      <c r="BO44" s="24">
        <f t="shared" si="132"/>
        <v>0</v>
      </c>
      <c r="BP44" s="27">
        <f t="shared" si="133"/>
        <v>0</v>
      </c>
      <c r="BQ44" s="147">
        <f t="shared" si="134"/>
        <v>0</v>
      </c>
      <c r="BR44" s="27">
        <f t="shared" si="135"/>
        <v>0</v>
      </c>
      <c r="BS44" s="91" t="e">
        <f t="shared" si="76"/>
        <v>#DIV/0!</v>
      </c>
      <c r="BT44" s="101" t="e">
        <f t="shared" si="77"/>
        <v>#DIV/0!</v>
      </c>
      <c r="BU44" s="206" t="e">
        <f t="shared" si="78"/>
        <v>#DIV/0!</v>
      </c>
      <c r="BV44" s="97" t="e">
        <f t="shared" si="79"/>
        <v>#DIV/0!</v>
      </c>
      <c r="BW44" s="123" t="e">
        <f t="shared" si="80"/>
        <v>#DIV/0!</v>
      </c>
      <c r="BX44" s="91">
        <f t="shared" si="81"/>
        <v>1.6266359309934566E-3</v>
      </c>
      <c r="BY44" s="92">
        <f t="shared" si="136"/>
        <v>5.0000000000000001E-3</v>
      </c>
      <c r="BZ44" s="233">
        <f t="shared" si="137"/>
        <v>0</v>
      </c>
      <c r="CA44" s="92">
        <f t="shared" si="138"/>
        <v>0</v>
      </c>
      <c r="CB44" s="92">
        <f t="shared" si="139"/>
        <v>0</v>
      </c>
      <c r="CC44" s="92">
        <f t="shared" si="140"/>
        <v>0</v>
      </c>
      <c r="CD44" s="92">
        <f t="shared" si="141"/>
        <v>0</v>
      </c>
      <c r="CE44" s="127">
        <f t="shared" si="82"/>
        <v>6.6266359309934564E-3</v>
      </c>
      <c r="CF44" s="91">
        <f t="shared" si="83"/>
        <v>6.7389202855443189E-3</v>
      </c>
      <c r="CG44" s="92">
        <f t="shared" si="142"/>
        <v>0.18848963414634151</v>
      </c>
      <c r="CH44" s="92">
        <f t="shared" si="143"/>
        <v>4.8932926829268301E-3</v>
      </c>
      <c r="CI44" s="92">
        <f t="shared" si="144"/>
        <v>0.29520000000000002</v>
      </c>
      <c r="CJ44" s="93">
        <f t="shared" si="145"/>
        <v>0.09</v>
      </c>
      <c r="CK44" s="127">
        <f t="shared" si="84"/>
        <v>0.58532184711481261</v>
      </c>
      <c r="CL44" s="91">
        <f t="shared" si="146"/>
        <v>0.15</v>
      </c>
      <c r="CM44" s="92">
        <f t="shared" si="147"/>
        <v>0</v>
      </c>
      <c r="CN44" s="92">
        <f t="shared" si="148"/>
        <v>0</v>
      </c>
      <c r="CO44" s="92">
        <f t="shared" si="149"/>
        <v>0</v>
      </c>
      <c r="CP44" s="92">
        <f t="shared" si="150"/>
        <v>0</v>
      </c>
      <c r="CQ44" s="92">
        <f t="shared" si="151"/>
        <v>0</v>
      </c>
      <c r="CR44" s="127">
        <f t="shared" si="85"/>
        <v>0.15</v>
      </c>
      <c r="CS44" s="92">
        <f t="shared" si="86"/>
        <v>0.74194848304580607</v>
      </c>
      <c r="CT44" s="92">
        <f t="shared" si="152"/>
        <v>8.2419484830458067</v>
      </c>
      <c r="CU44" s="93">
        <f t="shared" si="153"/>
        <v>0.90997899531014537</v>
      </c>
      <c r="CV44">
        <f t="shared" si="87"/>
        <v>49.2</v>
      </c>
    </row>
    <row r="45" spans="1:100" ht="15.75" thickBot="1" x14ac:dyDescent="0.3">
      <c r="A45" s="12" t="s">
        <v>390</v>
      </c>
      <c r="B45" s="176">
        <f>IF(AND(Vout3&lt;&gt;0,Iout3&lt;&gt;0),(Iout3*B10)/(Vout3_Ripple*(10^-3)),0)</f>
        <v>0</v>
      </c>
      <c r="C45" s="12" t="s">
        <v>343</v>
      </c>
      <c r="K45">
        <v>41</v>
      </c>
      <c r="L45" s="91">
        <f t="shared" si="88"/>
        <v>50.28</v>
      </c>
      <c r="M45" s="93">
        <f t="shared" si="89"/>
        <v>0.14916467780429593</v>
      </c>
      <c r="N45" s="122">
        <f t="shared" si="66"/>
        <v>1.6478882070597846E-4</v>
      </c>
      <c r="O45" s="97">
        <f t="shared" si="67"/>
        <v>1.4830993863538061E-4</v>
      </c>
      <c r="P45" s="123">
        <f t="shared" si="68"/>
        <v>1.348272169412551E-4</v>
      </c>
      <c r="Q45" s="127">
        <f t="shared" si="69"/>
        <v>0.22977941176470587</v>
      </c>
      <c r="R45" s="91">
        <f t="shared" si="70"/>
        <v>0.64916467780429588</v>
      </c>
      <c r="S45" s="92">
        <f t="shared" si="90"/>
        <v>0.2567401960784314</v>
      </c>
      <c r="T45" s="92">
        <f t="shared" si="71"/>
        <v>0.77753477584351161</v>
      </c>
      <c r="U45" s="92" t="e">
        <f t="shared" si="91"/>
        <v>#DIV/0!</v>
      </c>
      <c r="V45" s="118">
        <f t="shared" si="72"/>
        <v>0.31320058953145025</v>
      </c>
      <c r="W45" s="103">
        <f t="shared" si="73"/>
        <v>0.27539881658857679</v>
      </c>
      <c r="X45" s="117">
        <f t="shared" si="92"/>
        <v>0.64916467780429588</v>
      </c>
      <c r="Y45" s="103">
        <f t="shared" si="93"/>
        <v>0.25674019607843146</v>
      </c>
      <c r="Z45" s="103">
        <f t="shared" si="94"/>
        <v>0.57342229666808964</v>
      </c>
      <c r="AA45" s="118">
        <f t="shared" si="95"/>
        <v>0.41402267922029984</v>
      </c>
      <c r="AB45" s="117">
        <f t="shared" si="96"/>
        <v>0</v>
      </c>
      <c r="AC45" s="103">
        <f t="shared" si="97"/>
        <v>0</v>
      </c>
      <c r="AD45" s="103" t="e">
        <f t="shared" si="98"/>
        <v>#DIV/0!</v>
      </c>
      <c r="AE45" s="118">
        <f t="shared" si="99"/>
        <v>0</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163">
        <f t="shared" si="116"/>
        <v>7.3945909008764785E-2</v>
      </c>
      <c r="AW45" s="143">
        <f t="shared" si="74"/>
        <v>0</v>
      </c>
      <c r="AX45" s="154">
        <f t="shared" si="117"/>
        <v>0</v>
      </c>
      <c r="AY45" s="155">
        <v>41</v>
      </c>
      <c r="AZ45" s="156">
        <f t="shared" si="118"/>
        <v>0</v>
      </c>
      <c r="BA45" s="157">
        <f t="shared" si="119"/>
        <v>216.57594417262669</v>
      </c>
      <c r="BB45" s="158">
        <f t="shared" si="120"/>
        <v>7.9916523399699249E-2</v>
      </c>
      <c r="BC45" s="157">
        <f t="shared" si="75"/>
        <v>218.32694366645626</v>
      </c>
      <c r="BD45" s="159">
        <f t="shared" si="121"/>
        <v>8.056264221292235E-2</v>
      </c>
      <c r="BE45" s="24" t="e">
        <f t="shared" si="122"/>
        <v>#DIV/0!</v>
      </c>
      <c r="BF45" s="27" t="e">
        <f t="shared" si="123"/>
        <v>#DIV/0!</v>
      </c>
      <c r="BG45" s="24" t="e">
        <f t="shared" si="124"/>
        <v>#DIV/0!</v>
      </c>
      <c r="BH45" s="61" t="e">
        <f t="shared" si="125"/>
        <v>#DIV/0!</v>
      </c>
      <c r="BI45" s="24">
        <f t="shared" si="126"/>
        <v>0</v>
      </c>
      <c r="BJ45" s="27" t="e">
        <f t="shared" si="127"/>
        <v>#DIV/0!</v>
      </c>
      <c r="BK45" s="24">
        <f t="shared" si="128"/>
        <v>0</v>
      </c>
      <c r="BL45" s="27">
        <f t="shared" si="129"/>
        <v>0</v>
      </c>
      <c r="BM45" s="24">
        <f t="shared" si="130"/>
        <v>0</v>
      </c>
      <c r="BN45" s="27">
        <f t="shared" si="131"/>
        <v>0</v>
      </c>
      <c r="BO45" s="24">
        <f t="shared" si="132"/>
        <v>0</v>
      </c>
      <c r="BP45" s="27">
        <f t="shared" si="133"/>
        <v>0</v>
      </c>
      <c r="BQ45" s="147">
        <f t="shared" si="134"/>
        <v>0</v>
      </c>
      <c r="BR45" s="27">
        <f t="shared" si="135"/>
        <v>0</v>
      </c>
      <c r="BS45" s="91" t="e">
        <f t="shared" si="76"/>
        <v>#DIV/0!</v>
      </c>
      <c r="BT45" s="101" t="e">
        <f t="shared" si="77"/>
        <v>#DIV/0!</v>
      </c>
      <c r="BU45" s="206" t="e">
        <f t="shared" si="78"/>
        <v>#DIV/0!</v>
      </c>
      <c r="BV45" s="97" t="e">
        <f t="shared" si="79"/>
        <v>#DIV/0!</v>
      </c>
      <c r="BW45" s="123" t="e">
        <f t="shared" si="80"/>
        <v>#DIV/0!</v>
      </c>
      <c r="BX45" s="91">
        <f t="shared" si="81"/>
        <v>1.5575070773121591E-3</v>
      </c>
      <c r="BY45" s="92">
        <f t="shared" si="136"/>
        <v>5.0000000000000001E-3</v>
      </c>
      <c r="BZ45" s="233">
        <f t="shared" si="137"/>
        <v>0</v>
      </c>
      <c r="CA45" s="92">
        <f t="shared" si="138"/>
        <v>0</v>
      </c>
      <c r="CB45" s="92">
        <f t="shared" si="139"/>
        <v>0</v>
      </c>
      <c r="CC45" s="92">
        <f t="shared" si="140"/>
        <v>0</v>
      </c>
      <c r="CD45" s="92">
        <f t="shared" si="141"/>
        <v>0</v>
      </c>
      <c r="CE45" s="127">
        <f t="shared" si="82"/>
        <v>6.557507077312159E-3</v>
      </c>
      <c r="CF45" s="91">
        <f t="shared" si="83"/>
        <v>6.4525293202932297E-3</v>
      </c>
      <c r="CG45" s="92">
        <f t="shared" si="142"/>
        <v>0.19069861575179001</v>
      </c>
      <c r="CH45" s="92">
        <f t="shared" si="143"/>
        <v>4.8687350835322192E-3</v>
      </c>
      <c r="CI45" s="92">
        <f t="shared" si="144"/>
        <v>0.30168</v>
      </c>
      <c r="CJ45" s="93">
        <f t="shared" si="145"/>
        <v>0.09</v>
      </c>
      <c r="CK45" s="127">
        <f t="shared" si="84"/>
        <v>0.59369988015561537</v>
      </c>
      <c r="CL45" s="91">
        <f t="shared" si="146"/>
        <v>0.15</v>
      </c>
      <c r="CM45" s="92">
        <f t="shared" si="147"/>
        <v>0</v>
      </c>
      <c r="CN45" s="92">
        <f t="shared" si="148"/>
        <v>0</v>
      </c>
      <c r="CO45" s="92">
        <f t="shared" si="149"/>
        <v>0</v>
      </c>
      <c r="CP45" s="92">
        <f t="shared" si="150"/>
        <v>0</v>
      </c>
      <c r="CQ45" s="92">
        <f t="shared" si="151"/>
        <v>0</v>
      </c>
      <c r="CR45" s="127">
        <f t="shared" si="85"/>
        <v>0.15</v>
      </c>
      <c r="CS45" s="92">
        <f t="shared" si="86"/>
        <v>0.75025738723292756</v>
      </c>
      <c r="CT45" s="92">
        <f t="shared" si="152"/>
        <v>8.2502573872329279</v>
      </c>
      <c r="CU45" s="93">
        <f t="shared" si="153"/>
        <v>0.90906254774621542</v>
      </c>
      <c r="CV45">
        <f t="shared" si="87"/>
        <v>50.28</v>
      </c>
    </row>
    <row r="46" spans="1:100" ht="15.75" thickBot="1" x14ac:dyDescent="0.3">
      <c r="A46" s="12" t="s">
        <v>391</v>
      </c>
      <c r="B46" s="176">
        <f>COUT3_FBB</f>
        <v>0</v>
      </c>
      <c r="C46" s="12" t="s">
        <v>343</v>
      </c>
      <c r="K46">
        <v>42</v>
      </c>
      <c r="L46" s="91">
        <f t="shared" si="88"/>
        <v>51.36</v>
      </c>
      <c r="M46" s="93">
        <f t="shared" si="89"/>
        <v>0.14602803738317757</v>
      </c>
      <c r="N46" s="122">
        <f t="shared" si="66"/>
        <v>1.6639289374885773E-4</v>
      </c>
      <c r="O46" s="97">
        <f t="shared" si="67"/>
        <v>1.4975360437397196E-4</v>
      </c>
      <c r="P46" s="123">
        <f t="shared" si="68"/>
        <v>1.361396403399745E-4</v>
      </c>
      <c r="Q46" s="127">
        <f t="shared" si="69"/>
        <v>0.22603978300180833</v>
      </c>
      <c r="R46" s="91">
        <f t="shared" si="70"/>
        <v>0.6460280373831776</v>
      </c>
      <c r="S46" s="92">
        <f t="shared" si="90"/>
        <v>0.25798673899939728</v>
      </c>
      <c r="T46" s="92">
        <f t="shared" si="71"/>
        <v>0.77502140688287624</v>
      </c>
      <c r="U46" s="92" t="e">
        <f t="shared" si="91"/>
        <v>#DIV/0!</v>
      </c>
      <c r="V46" s="118">
        <f t="shared" si="72"/>
        <v>0.30917943039617951</v>
      </c>
      <c r="W46" s="103">
        <f t="shared" si="73"/>
        <v>0.27252106795277919</v>
      </c>
      <c r="X46" s="117">
        <f t="shared" si="92"/>
        <v>0.6460280373831776</v>
      </c>
      <c r="Y46" s="103">
        <f t="shared" si="93"/>
        <v>0.25798673899939728</v>
      </c>
      <c r="Z46" s="103">
        <f t="shared" si="94"/>
        <v>0.57210727551455143</v>
      </c>
      <c r="AA46" s="118">
        <f t="shared" si="95"/>
        <v>0.40908706296479275</v>
      </c>
      <c r="AB46" s="117">
        <f t="shared" si="96"/>
        <v>0</v>
      </c>
      <c r="AC46" s="103">
        <f t="shared" si="97"/>
        <v>0</v>
      </c>
      <c r="AD46" s="103" t="e">
        <f t="shared" si="98"/>
        <v>#DIV/0!</v>
      </c>
      <c r="AE46" s="118">
        <f t="shared" si="99"/>
        <v>0</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163">
        <f t="shared" si="116"/>
        <v>7.4304936347752648E-2</v>
      </c>
      <c r="AW46" s="143">
        <f t="shared" si="74"/>
        <v>0</v>
      </c>
      <c r="AX46" s="154">
        <f t="shared" si="117"/>
        <v>0</v>
      </c>
      <c r="AY46" s="155">
        <v>42</v>
      </c>
      <c r="AZ46" s="156">
        <f t="shared" si="118"/>
        <v>0</v>
      </c>
      <c r="BA46" s="157">
        <f t="shared" si="119"/>
        <v>219.38431024285103</v>
      </c>
      <c r="BB46" s="158">
        <f t="shared" si="120"/>
        <v>8.0952810479612031E-2</v>
      </c>
      <c r="BC46" s="157">
        <f t="shared" si="75"/>
        <v>220.94388219037444</v>
      </c>
      <c r="BD46" s="159">
        <f t="shared" si="121"/>
        <v>8.152829252824817E-2</v>
      </c>
      <c r="BE46" s="24" t="e">
        <f t="shared" si="122"/>
        <v>#DIV/0!</v>
      </c>
      <c r="BF46" s="27" t="e">
        <f t="shared" si="123"/>
        <v>#DIV/0!</v>
      </c>
      <c r="BG46" s="24" t="e">
        <f t="shared" si="124"/>
        <v>#DIV/0!</v>
      </c>
      <c r="BH46" s="61" t="e">
        <f t="shared" si="125"/>
        <v>#DIV/0!</v>
      </c>
      <c r="BI46" s="24">
        <f t="shared" si="126"/>
        <v>0</v>
      </c>
      <c r="BJ46" s="27" t="e">
        <f t="shared" si="127"/>
        <v>#DIV/0!</v>
      </c>
      <c r="BK46" s="24">
        <f t="shared" si="128"/>
        <v>0</v>
      </c>
      <c r="BL46" s="27">
        <f t="shared" si="129"/>
        <v>0</v>
      </c>
      <c r="BM46" s="24">
        <f t="shared" si="130"/>
        <v>0</v>
      </c>
      <c r="BN46" s="27">
        <f t="shared" si="131"/>
        <v>0</v>
      </c>
      <c r="BO46" s="24">
        <f t="shared" si="132"/>
        <v>0</v>
      </c>
      <c r="BP46" s="27">
        <f t="shared" si="133"/>
        <v>0</v>
      </c>
      <c r="BQ46" s="147">
        <f t="shared" si="134"/>
        <v>0</v>
      </c>
      <c r="BR46" s="27">
        <f t="shared" si="135"/>
        <v>0</v>
      </c>
      <c r="BS46" s="91" t="e">
        <f t="shared" si="76"/>
        <v>#DIV/0!</v>
      </c>
      <c r="BT46" s="101" t="e">
        <f t="shared" si="77"/>
        <v>#DIV/0!</v>
      </c>
      <c r="BU46" s="206" t="e">
        <f t="shared" si="78"/>
        <v>#DIV/0!</v>
      </c>
      <c r="BV46" s="97" t="e">
        <f t="shared" si="79"/>
        <v>#DIV/0!</v>
      </c>
      <c r="BW46" s="123" t="e">
        <f t="shared" si="80"/>
        <v>#DIV/0!</v>
      </c>
      <c r="BX46" s="91">
        <f t="shared" si="81"/>
        <v>1.4926931391387895E-3</v>
      </c>
      <c r="BY46" s="92">
        <f t="shared" si="136"/>
        <v>5.0000000000000001E-3</v>
      </c>
      <c r="BZ46" s="233">
        <f t="shared" si="137"/>
        <v>0</v>
      </c>
      <c r="CA46" s="92">
        <f t="shared" si="138"/>
        <v>0</v>
      </c>
      <c r="CB46" s="92">
        <f t="shared" si="139"/>
        <v>0</v>
      </c>
      <c r="CC46" s="92">
        <f t="shared" si="140"/>
        <v>0</v>
      </c>
      <c r="CD46" s="92">
        <f t="shared" si="141"/>
        <v>0</v>
      </c>
      <c r="CE46" s="127">
        <f t="shared" si="82"/>
        <v>6.4926931391387898E-3</v>
      </c>
      <c r="CF46" s="91">
        <f t="shared" si="83"/>
        <v>6.1840144335749839E-3</v>
      </c>
      <c r="CG46" s="92">
        <f t="shared" si="142"/>
        <v>0.19291689252336452</v>
      </c>
      <c r="CH46" s="92">
        <f t="shared" si="143"/>
        <v>4.8452102803738326E-3</v>
      </c>
      <c r="CI46" s="92">
        <f t="shared" si="144"/>
        <v>0.30816000000000004</v>
      </c>
      <c r="CJ46" s="93">
        <f t="shared" si="145"/>
        <v>0.09</v>
      </c>
      <c r="CK46" s="127">
        <f t="shared" si="84"/>
        <v>0.60210611723731333</v>
      </c>
      <c r="CL46" s="91">
        <f t="shared" si="146"/>
        <v>0.15</v>
      </c>
      <c r="CM46" s="92">
        <f t="shared" si="147"/>
        <v>0</v>
      </c>
      <c r="CN46" s="92">
        <f t="shared" si="148"/>
        <v>0</v>
      </c>
      <c r="CO46" s="92">
        <f t="shared" si="149"/>
        <v>0</v>
      </c>
      <c r="CP46" s="92">
        <f t="shared" si="150"/>
        <v>0</v>
      </c>
      <c r="CQ46" s="92">
        <f t="shared" si="151"/>
        <v>0</v>
      </c>
      <c r="CR46" s="127">
        <f t="shared" si="85"/>
        <v>0.15</v>
      </c>
      <c r="CS46" s="92">
        <f t="shared" si="86"/>
        <v>0.75859881037645216</v>
      </c>
      <c r="CT46" s="92">
        <f t="shared" si="152"/>
        <v>8.2585988103764514</v>
      </c>
      <c r="CU46" s="93">
        <f t="shared" si="153"/>
        <v>0.90814436833723955</v>
      </c>
      <c r="CV46">
        <f t="shared" si="87"/>
        <v>51.36</v>
      </c>
    </row>
    <row r="47" spans="1:100" ht="15.75" thickBot="1" x14ac:dyDescent="0.3">
      <c r="A47" s="12" t="s">
        <v>392</v>
      </c>
      <c r="B47" s="176">
        <f>IF(AND(Vout4&lt;&gt;0,Iout4&lt;&gt;0),(Iout4*B10)/(Vout4_Ripple*(10^-3)),0)</f>
        <v>0</v>
      </c>
      <c r="C47" s="12" t="s">
        <v>343</v>
      </c>
      <c r="K47">
        <v>43</v>
      </c>
      <c r="L47" s="91">
        <f t="shared" si="88"/>
        <v>52.440000000000005</v>
      </c>
      <c r="M47" s="93">
        <f t="shared" si="89"/>
        <v>0.14302059496567504</v>
      </c>
      <c r="N47" s="122">
        <f t="shared" si="66"/>
        <v>1.679529908576527E-4</v>
      </c>
      <c r="O47" s="97">
        <f t="shared" si="67"/>
        <v>1.5115769177188743E-4</v>
      </c>
      <c r="P47" s="123">
        <f t="shared" si="68"/>
        <v>1.3741608342898856E-4</v>
      </c>
      <c r="Q47" s="127">
        <f t="shared" si="69"/>
        <v>0.22241992882562278</v>
      </c>
      <c r="R47" s="91">
        <f t="shared" si="70"/>
        <v>0.64302059496567499</v>
      </c>
      <c r="S47" s="92">
        <f t="shared" si="90"/>
        <v>0.25919335705812585</v>
      </c>
      <c r="T47" s="92">
        <f t="shared" si="71"/>
        <v>0.77261727349473786</v>
      </c>
      <c r="U47" s="92" t="e">
        <f t="shared" si="91"/>
        <v>#DIV/0!</v>
      </c>
      <c r="V47" s="118">
        <f t="shared" si="72"/>
        <v>0.30530376863531644</v>
      </c>
      <c r="W47" s="103">
        <f t="shared" si="73"/>
        <v>0.26973227570795294</v>
      </c>
      <c r="X47" s="117">
        <f t="shared" si="92"/>
        <v>0.6430205949656751</v>
      </c>
      <c r="Y47" s="103">
        <f t="shared" si="93"/>
        <v>0.2591933570581258</v>
      </c>
      <c r="Z47" s="103">
        <f t="shared" si="94"/>
        <v>0.5708445737989214</v>
      </c>
      <c r="AA47" s="118">
        <f t="shared" si="95"/>
        <v>0.40432101794243985</v>
      </c>
      <c r="AB47" s="117">
        <f t="shared" si="96"/>
        <v>0</v>
      </c>
      <c r="AC47" s="103">
        <f t="shared" si="97"/>
        <v>0</v>
      </c>
      <c r="AD47" s="103" t="e">
        <f t="shared" si="98"/>
        <v>#DIV/0!</v>
      </c>
      <c r="AE47" s="118">
        <f t="shared" si="99"/>
        <v>0</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163">
        <f t="shared" si="116"/>
        <v>7.4652464590474019E-2</v>
      </c>
      <c r="AW47" s="143">
        <f t="shared" si="74"/>
        <v>0</v>
      </c>
      <c r="AX47" s="154">
        <f t="shared" si="117"/>
        <v>0</v>
      </c>
      <c r="AY47" s="155">
        <v>43</v>
      </c>
      <c r="AZ47" s="156">
        <f t="shared" si="118"/>
        <v>0</v>
      </c>
      <c r="BA47" s="157">
        <f t="shared" si="119"/>
        <v>222.12426892943279</v>
      </c>
      <c r="BB47" s="158">
        <f t="shared" si="120"/>
        <v>8.1963855234960706E-2</v>
      </c>
      <c r="BC47" s="157">
        <f t="shared" si="75"/>
        <v>223.49464953869978</v>
      </c>
      <c r="BD47" s="159">
        <f t="shared" si="121"/>
        <v>8.246952567978022E-2</v>
      </c>
      <c r="BE47" s="24" t="e">
        <f t="shared" si="122"/>
        <v>#DIV/0!</v>
      </c>
      <c r="BF47" s="27" t="e">
        <f t="shared" si="123"/>
        <v>#DIV/0!</v>
      </c>
      <c r="BG47" s="24" t="e">
        <f t="shared" si="124"/>
        <v>#DIV/0!</v>
      </c>
      <c r="BH47" s="61" t="e">
        <f t="shared" si="125"/>
        <v>#DIV/0!</v>
      </c>
      <c r="BI47" s="24">
        <f t="shared" si="126"/>
        <v>0</v>
      </c>
      <c r="BJ47" s="27" t="e">
        <f t="shared" si="127"/>
        <v>#DIV/0!</v>
      </c>
      <c r="BK47" s="24">
        <f t="shared" si="128"/>
        <v>0</v>
      </c>
      <c r="BL47" s="27">
        <f t="shared" si="129"/>
        <v>0</v>
      </c>
      <c r="BM47" s="24">
        <f t="shared" si="130"/>
        <v>0</v>
      </c>
      <c r="BN47" s="27">
        <f t="shared" si="131"/>
        <v>0</v>
      </c>
      <c r="BO47" s="24">
        <f t="shared" si="132"/>
        <v>0</v>
      </c>
      <c r="BP47" s="27">
        <f t="shared" si="133"/>
        <v>0</v>
      </c>
      <c r="BQ47" s="147">
        <f t="shared" si="134"/>
        <v>0</v>
      </c>
      <c r="BR47" s="27">
        <f t="shared" si="135"/>
        <v>0</v>
      </c>
      <c r="BS47" s="91" t="e">
        <f t="shared" si="76"/>
        <v>#DIV/0!</v>
      </c>
      <c r="BT47" s="101" t="e">
        <f t="shared" si="77"/>
        <v>#DIV/0!</v>
      </c>
      <c r="BU47" s="206" t="e">
        <f t="shared" si="78"/>
        <v>#DIV/0!</v>
      </c>
      <c r="BV47" s="97" t="e">
        <f t="shared" si="79"/>
        <v>#DIV/0!</v>
      </c>
      <c r="BW47" s="123" t="e">
        <f t="shared" si="80"/>
        <v>#DIV/0!</v>
      </c>
      <c r="BX47" s="91">
        <f t="shared" si="81"/>
        <v>1.4318423409034973E-3</v>
      </c>
      <c r="BY47" s="92">
        <f t="shared" si="136"/>
        <v>5.0000000000000001E-3</v>
      </c>
      <c r="BZ47" s="233">
        <f t="shared" si="137"/>
        <v>0</v>
      </c>
      <c r="CA47" s="92">
        <f t="shared" si="138"/>
        <v>0</v>
      </c>
      <c r="CB47" s="92">
        <f t="shared" si="139"/>
        <v>0</v>
      </c>
      <c r="CC47" s="92">
        <f t="shared" si="140"/>
        <v>0</v>
      </c>
      <c r="CD47" s="92">
        <f t="shared" si="141"/>
        <v>0</v>
      </c>
      <c r="CE47" s="127">
        <f t="shared" si="82"/>
        <v>6.4318423409034974E-3</v>
      </c>
      <c r="CF47" s="91">
        <f t="shared" si="83"/>
        <v>5.9319182694573449E-3</v>
      </c>
      <c r="CG47" s="92">
        <f t="shared" si="142"/>
        <v>0.19514389016018308</v>
      </c>
      <c r="CH47" s="92">
        <f t="shared" si="143"/>
        <v>4.8226544622425619E-3</v>
      </c>
      <c r="CI47" s="92">
        <f t="shared" si="144"/>
        <v>0.31464000000000003</v>
      </c>
      <c r="CJ47" s="93">
        <f t="shared" si="145"/>
        <v>0.09</v>
      </c>
      <c r="CK47" s="127">
        <f t="shared" si="84"/>
        <v>0.61053846289188296</v>
      </c>
      <c r="CL47" s="91">
        <f t="shared" si="146"/>
        <v>0.15</v>
      </c>
      <c r="CM47" s="92">
        <f t="shared" si="147"/>
        <v>0</v>
      </c>
      <c r="CN47" s="92">
        <f t="shared" si="148"/>
        <v>0</v>
      </c>
      <c r="CO47" s="92">
        <f t="shared" si="149"/>
        <v>0</v>
      </c>
      <c r="CP47" s="92">
        <f t="shared" si="150"/>
        <v>0</v>
      </c>
      <c r="CQ47" s="92">
        <f t="shared" si="151"/>
        <v>0</v>
      </c>
      <c r="CR47" s="127">
        <f t="shared" si="85"/>
        <v>0.15</v>
      </c>
      <c r="CS47" s="92">
        <f t="shared" si="86"/>
        <v>0.76697030523278653</v>
      </c>
      <c r="CT47" s="92">
        <f t="shared" si="152"/>
        <v>8.2669703052327872</v>
      </c>
      <c r="CU47" s="93">
        <f t="shared" si="153"/>
        <v>0.90722474172342027</v>
      </c>
      <c r="CV47">
        <f t="shared" si="87"/>
        <v>52.440000000000005</v>
      </c>
    </row>
    <row r="48" spans="1:100" ht="15.75" thickBot="1" x14ac:dyDescent="0.3">
      <c r="A48" s="12" t="s">
        <v>393</v>
      </c>
      <c r="B48" s="176">
        <f>COUT4_FBB</f>
        <v>0</v>
      </c>
      <c r="C48" s="12" t="s">
        <v>343</v>
      </c>
      <c r="K48">
        <v>44</v>
      </c>
      <c r="L48" s="91">
        <f t="shared" si="88"/>
        <v>53.52</v>
      </c>
      <c r="M48" s="93">
        <f t="shared" si="89"/>
        <v>0.14013452914798205</v>
      </c>
      <c r="N48" s="122">
        <f t="shared" si="66"/>
        <v>1.6947084705434113E-4</v>
      </c>
      <c r="O48" s="97">
        <f t="shared" si="67"/>
        <v>1.5252376234890704E-4</v>
      </c>
      <c r="P48" s="123">
        <f t="shared" si="68"/>
        <v>1.3865796577173365E-4</v>
      </c>
      <c r="Q48" s="127">
        <f t="shared" si="69"/>
        <v>0.2189141856392294</v>
      </c>
      <c r="R48" s="91">
        <f t="shared" si="70"/>
        <v>0.64013452914798208</v>
      </c>
      <c r="S48" s="92">
        <f t="shared" si="90"/>
        <v>0.26036193812025687</v>
      </c>
      <c r="T48" s="92">
        <f t="shared" si="71"/>
        <v>0.77031549820811052</v>
      </c>
      <c r="U48" s="92" t="e">
        <f t="shared" si="91"/>
        <v>#DIV/0!</v>
      </c>
      <c r="V48" s="118">
        <f t="shared" si="72"/>
        <v>0.30156525537479834</v>
      </c>
      <c r="W48" s="103">
        <f t="shared" si="73"/>
        <v>0.26702793297657212</v>
      </c>
      <c r="X48" s="117">
        <f t="shared" si="92"/>
        <v>0.64013452914798208</v>
      </c>
      <c r="Y48" s="103">
        <f t="shared" si="93"/>
        <v>0.26036193812025693</v>
      </c>
      <c r="Z48" s="103">
        <f t="shared" si="94"/>
        <v>0.56963114415680094</v>
      </c>
      <c r="AA48" s="118">
        <f t="shared" si="95"/>
        <v>0.39971516784769218</v>
      </c>
      <c r="AB48" s="117">
        <f t="shared" si="96"/>
        <v>0</v>
      </c>
      <c r="AC48" s="103">
        <f t="shared" si="97"/>
        <v>0</v>
      </c>
      <c r="AD48" s="103" t="e">
        <f t="shared" si="98"/>
        <v>#DIV/0!</v>
      </c>
      <c r="AE48" s="118">
        <f t="shared" si="99"/>
        <v>0</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163">
        <f t="shared" si="116"/>
        <v>7.4989037477032505E-2</v>
      </c>
      <c r="AW48" s="143">
        <f t="shared" si="74"/>
        <v>0</v>
      </c>
      <c r="AX48" s="154">
        <f t="shared" si="117"/>
        <v>0</v>
      </c>
      <c r="AY48" s="155">
        <v>44</v>
      </c>
      <c r="AZ48" s="156">
        <f t="shared" si="118"/>
        <v>0</v>
      </c>
      <c r="BA48" s="157">
        <f t="shared" si="119"/>
        <v>224.79811475501265</v>
      </c>
      <c r="BB48" s="158">
        <f t="shared" si="120"/>
        <v>8.2950504344599663E-2</v>
      </c>
      <c r="BC48" s="157">
        <f t="shared" si="75"/>
        <v>225.98158900219519</v>
      </c>
      <c r="BD48" s="159">
        <f t="shared" si="121"/>
        <v>8.338720634181003E-2</v>
      </c>
      <c r="BE48" s="24" t="e">
        <f t="shared" si="122"/>
        <v>#DIV/0!</v>
      </c>
      <c r="BF48" s="27" t="e">
        <f t="shared" si="123"/>
        <v>#DIV/0!</v>
      </c>
      <c r="BG48" s="24" t="e">
        <f t="shared" si="124"/>
        <v>#DIV/0!</v>
      </c>
      <c r="BH48" s="61" t="e">
        <f t="shared" si="125"/>
        <v>#DIV/0!</v>
      </c>
      <c r="BI48" s="24">
        <f t="shared" si="126"/>
        <v>0</v>
      </c>
      <c r="BJ48" s="27" t="e">
        <f t="shared" si="127"/>
        <v>#DIV/0!</v>
      </c>
      <c r="BK48" s="24">
        <f t="shared" si="128"/>
        <v>0</v>
      </c>
      <c r="BL48" s="27">
        <f t="shared" si="129"/>
        <v>0</v>
      </c>
      <c r="BM48" s="24">
        <f t="shared" si="130"/>
        <v>0</v>
      </c>
      <c r="BN48" s="27">
        <f t="shared" si="131"/>
        <v>0</v>
      </c>
      <c r="BO48" s="24">
        <f t="shared" si="132"/>
        <v>0</v>
      </c>
      <c r="BP48" s="27">
        <f t="shared" si="133"/>
        <v>0</v>
      </c>
      <c r="BQ48" s="147">
        <f t="shared" si="134"/>
        <v>0</v>
      </c>
      <c r="BR48" s="27">
        <f t="shared" si="135"/>
        <v>0</v>
      </c>
      <c r="BS48" s="91" t="e">
        <f t="shared" si="76"/>
        <v>#DIV/0!</v>
      </c>
      <c r="BT48" s="101" t="e">
        <f t="shared" si="77"/>
        <v>#DIV/0!</v>
      </c>
      <c r="BU48" s="206" t="e">
        <f t="shared" si="78"/>
        <v>#DIV/0!</v>
      </c>
      <c r="BV48" s="97" t="e">
        <f t="shared" si="79"/>
        <v>#DIV/0!</v>
      </c>
      <c r="BW48" s="123" t="e">
        <f t="shared" si="80"/>
        <v>#DIV/0!</v>
      </c>
      <c r="BX48" s="91">
        <f t="shared" si="81"/>
        <v>1.3746380381668643E-3</v>
      </c>
      <c r="BY48" s="92">
        <f t="shared" si="136"/>
        <v>5.0000000000000001E-3</v>
      </c>
      <c r="BZ48" s="233">
        <f t="shared" si="137"/>
        <v>0</v>
      </c>
      <c r="CA48" s="92">
        <f t="shared" si="138"/>
        <v>0</v>
      </c>
      <c r="CB48" s="92">
        <f t="shared" si="139"/>
        <v>0</v>
      </c>
      <c r="CC48" s="92">
        <f t="shared" si="140"/>
        <v>0</v>
      </c>
      <c r="CD48" s="92">
        <f t="shared" si="141"/>
        <v>0</v>
      </c>
      <c r="CE48" s="127">
        <f t="shared" si="82"/>
        <v>6.3746380381668639E-3</v>
      </c>
      <c r="CF48" s="91">
        <f t="shared" si="83"/>
        <v>5.6949290152627221E-3</v>
      </c>
      <c r="CG48" s="92">
        <f t="shared" si="142"/>
        <v>0.19737908071748886</v>
      </c>
      <c r="CH48" s="92">
        <f t="shared" si="143"/>
        <v>4.8010089686098658E-3</v>
      </c>
      <c r="CI48" s="92">
        <f t="shared" si="144"/>
        <v>0.32112000000000007</v>
      </c>
      <c r="CJ48" s="93">
        <f t="shared" si="145"/>
        <v>0.09</v>
      </c>
      <c r="CK48" s="127">
        <f t="shared" si="84"/>
        <v>0.61899501870136142</v>
      </c>
      <c r="CL48" s="91">
        <f t="shared" si="146"/>
        <v>0.15</v>
      </c>
      <c r="CM48" s="92">
        <f t="shared" si="147"/>
        <v>0</v>
      </c>
      <c r="CN48" s="92">
        <f t="shared" si="148"/>
        <v>0</v>
      </c>
      <c r="CO48" s="92">
        <f t="shared" si="149"/>
        <v>0</v>
      </c>
      <c r="CP48" s="92">
        <f t="shared" si="150"/>
        <v>0</v>
      </c>
      <c r="CQ48" s="92">
        <f t="shared" si="151"/>
        <v>0</v>
      </c>
      <c r="CR48" s="127">
        <f t="shared" si="85"/>
        <v>0.15</v>
      </c>
      <c r="CS48" s="92">
        <f t="shared" si="86"/>
        <v>0.77536965673952829</v>
      </c>
      <c r="CT48" s="92">
        <f t="shared" si="152"/>
        <v>8.2753696567395281</v>
      </c>
      <c r="CU48" s="93">
        <f t="shared" si="153"/>
        <v>0.90630392491191492</v>
      </c>
      <c r="CV48">
        <f t="shared" si="87"/>
        <v>53.52</v>
      </c>
    </row>
    <row r="49" spans="1:100" ht="15.75" thickBot="1" x14ac:dyDescent="0.3">
      <c r="A49" s="12" t="s">
        <v>394</v>
      </c>
      <c r="B49" s="176">
        <f>IF(AND(Vout5&lt;&gt;0,Iout5&lt;&gt;0),(Iout5*B10)/(Vout5_Ripple*(10^-3)),0)</f>
        <v>0</v>
      </c>
      <c r="C49" s="12" t="s">
        <v>343</v>
      </c>
      <c r="K49">
        <v>45</v>
      </c>
      <c r="L49" s="91">
        <f t="shared" si="88"/>
        <v>54.6</v>
      </c>
      <c r="M49" s="93">
        <f t="shared" si="89"/>
        <v>0.13736263736263735</v>
      </c>
      <c r="N49" s="122">
        <f t="shared" si="66"/>
        <v>1.7094811071475757E-4</v>
      </c>
      <c r="O49" s="97">
        <f t="shared" si="67"/>
        <v>1.5385329964328186E-4</v>
      </c>
      <c r="P49" s="123">
        <f t="shared" si="68"/>
        <v>1.3986663603934713E-4</v>
      </c>
      <c r="Q49" s="127">
        <f t="shared" si="69"/>
        <v>0.21551724137931036</v>
      </c>
      <c r="R49" s="91">
        <f t="shared" si="70"/>
        <v>0.63736263736263721</v>
      </c>
      <c r="S49" s="92">
        <f t="shared" si="90"/>
        <v>0.26149425287356326</v>
      </c>
      <c r="T49" s="92">
        <f t="shared" si="71"/>
        <v>0.76810976379941887</v>
      </c>
      <c r="U49" s="92" t="e">
        <f t="shared" si="91"/>
        <v>#DIV/0!</v>
      </c>
      <c r="V49" s="118">
        <f t="shared" si="72"/>
        <v>0.29795618525640039</v>
      </c>
      <c r="W49" s="103">
        <f t="shared" si="73"/>
        <v>0.26440384677482848</v>
      </c>
      <c r="X49" s="117">
        <f t="shared" si="92"/>
        <v>0.63736263736263743</v>
      </c>
      <c r="Y49" s="103">
        <f t="shared" si="93"/>
        <v>0.2614942528735632</v>
      </c>
      <c r="Z49" s="103">
        <f t="shared" si="94"/>
        <v>0.56846417084146028</v>
      </c>
      <c r="AA49" s="118">
        <f t="shared" si="95"/>
        <v>0.39526083983346605</v>
      </c>
      <c r="AB49" s="117">
        <f t="shared" si="96"/>
        <v>0</v>
      </c>
      <c r="AC49" s="103">
        <f t="shared" si="97"/>
        <v>0</v>
      </c>
      <c r="AD49" s="103" t="e">
        <f t="shared" si="98"/>
        <v>#DIV/0!</v>
      </c>
      <c r="AE49" s="118">
        <f t="shared" si="99"/>
        <v>0</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163">
        <f t="shared" si="116"/>
        <v>7.5315164998146084E-2</v>
      </c>
      <c r="AW49" s="143">
        <f t="shared" si="74"/>
        <v>0</v>
      </c>
      <c r="AX49" s="154">
        <f t="shared" si="117"/>
        <v>0</v>
      </c>
      <c r="AY49" s="155">
        <v>45</v>
      </c>
      <c r="AZ49" s="156">
        <f t="shared" si="118"/>
        <v>0</v>
      </c>
      <c r="BA49" s="157">
        <f t="shared" si="119"/>
        <v>227.40805343408772</v>
      </c>
      <c r="BB49" s="158">
        <f t="shared" si="120"/>
        <v>8.3913571717178365E-2</v>
      </c>
      <c r="BC49" s="157">
        <f t="shared" si="75"/>
        <v>228.40694421338449</v>
      </c>
      <c r="BD49" s="159">
        <f t="shared" si="121"/>
        <v>8.4282162414738876E-2</v>
      </c>
      <c r="BE49" s="24" t="e">
        <f t="shared" si="122"/>
        <v>#DIV/0!</v>
      </c>
      <c r="BF49" s="27" t="e">
        <f t="shared" si="123"/>
        <v>#DIV/0!</v>
      </c>
      <c r="BG49" s="24" t="e">
        <f t="shared" si="124"/>
        <v>#DIV/0!</v>
      </c>
      <c r="BH49" s="61" t="e">
        <f t="shared" si="125"/>
        <v>#DIV/0!</v>
      </c>
      <c r="BI49" s="24">
        <f t="shared" si="126"/>
        <v>0</v>
      </c>
      <c r="BJ49" s="27" t="e">
        <f t="shared" si="127"/>
        <v>#DIV/0!</v>
      </c>
      <c r="BK49" s="24">
        <f t="shared" si="128"/>
        <v>0</v>
      </c>
      <c r="BL49" s="27">
        <f t="shared" si="129"/>
        <v>0</v>
      </c>
      <c r="BM49" s="24">
        <f t="shared" si="130"/>
        <v>0</v>
      </c>
      <c r="BN49" s="27">
        <f t="shared" si="131"/>
        <v>0</v>
      </c>
      <c r="BO49" s="24">
        <f t="shared" si="132"/>
        <v>0</v>
      </c>
      <c r="BP49" s="27">
        <f t="shared" si="133"/>
        <v>0</v>
      </c>
      <c r="BQ49" s="147">
        <f t="shared" si="134"/>
        <v>0</v>
      </c>
      <c r="BR49" s="27">
        <f t="shared" si="135"/>
        <v>0</v>
      </c>
      <c r="BS49" s="91" t="e">
        <f t="shared" si="76"/>
        <v>#DIV/0!</v>
      </c>
      <c r="BT49" s="101" t="e">
        <f t="shared" si="77"/>
        <v>#DIV/0!</v>
      </c>
      <c r="BU49" s="206" t="e">
        <f t="shared" si="78"/>
        <v>#DIV/0!</v>
      </c>
      <c r="BV49" s="97" t="e">
        <f t="shared" si="79"/>
        <v>#DIV/0!</v>
      </c>
      <c r="BW49" s="123" t="e">
        <f t="shared" si="80"/>
        <v>#DIV/0!</v>
      </c>
      <c r="BX49" s="91">
        <f t="shared" si="81"/>
        <v>1.3207945900253592E-3</v>
      </c>
      <c r="BY49" s="92">
        <f t="shared" si="136"/>
        <v>5.0000000000000001E-3</v>
      </c>
      <c r="BZ49" s="233">
        <f t="shared" si="137"/>
        <v>0</v>
      </c>
      <c r="CA49" s="92">
        <f t="shared" si="138"/>
        <v>0</v>
      </c>
      <c r="CB49" s="92">
        <f t="shared" si="139"/>
        <v>0</v>
      </c>
      <c r="CC49" s="92">
        <f t="shared" si="140"/>
        <v>0</v>
      </c>
      <c r="CD49" s="92">
        <f t="shared" si="141"/>
        <v>0</v>
      </c>
      <c r="CE49" s="127">
        <f t="shared" si="82"/>
        <v>6.3207945900253595E-3</v>
      </c>
      <c r="CF49" s="91">
        <f t="shared" si="83"/>
        <v>5.4718633015336301E-3</v>
      </c>
      <c r="CG49" s="92">
        <f t="shared" si="142"/>
        <v>0.19962197802197798</v>
      </c>
      <c r="CH49" s="92">
        <f t="shared" si="143"/>
        <v>4.7802197802197799E-3</v>
      </c>
      <c r="CI49" s="92">
        <f t="shared" si="144"/>
        <v>0.3276</v>
      </c>
      <c r="CJ49" s="93">
        <f t="shared" si="145"/>
        <v>0.09</v>
      </c>
      <c r="CK49" s="127">
        <f t="shared" si="84"/>
        <v>0.62747406110373138</v>
      </c>
      <c r="CL49" s="91">
        <f t="shared" si="146"/>
        <v>0.15</v>
      </c>
      <c r="CM49" s="92">
        <f t="shared" si="147"/>
        <v>0</v>
      </c>
      <c r="CN49" s="92">
        <f t="shared" si="148"/>
        <v>0</v>
      </c>
      <c r="CO49" s="92">
        <f t="shared" si="149"/>
        <v>0</v>
      </c>
      <c r="CP49" s="92">
        <f t="shared" si="150"/>
        <v>0</v>
      </c>
      <c r="CQ49" s="92">
        <f t="shared" si="151"/>
        <v>0</v>
      </c>
      <c r="CR49" s="127">
        <f t="shared" si="85"/>
        <v>0.15</v>
      </c>
      <c r="CS49" s="92">
        <f t="shared" si="86"/>
        <v>0.78379485569375673</v>
      </c>
      <c r="CT49" s="92">
        <f t="shared" si="152"/>
        <v>8.2837948556937562</v>
      </c>
      <c r="CU49" s="93">
        <f t="shared" si="153"/>
        <v>0.90538215040960057</v>
      </c>
      <c r="CV49">
        <f t="shared" si="87"/>
        <v>54.6</v>
      </c>
    </row>
    <row r="50" spans="1:100" ht="14.7" thickBot="1" x14ac:dyDescent="0.6">
      <c r="A50" s="12" t="s">
        <v>395</v>
      </c>
      <c r="B50" s="176">
        <f>COUT5_FBB</f>
        <v>0</v>
      </c>
      <c r="C50" s="12" t="s">
        <v>343</v>
      </c>
      <c r="K50">
        <v>46</v>
      </c>
      <c r="L50" s="91">
        <f t="shared" si="88"/>
        <v>55.680000000000007</v>
      </c>
      <c r="M50" s="93">
        <f t="shared" si="89"/>
        <v>0.13469827586206895</v>
      </c>
      <c r="N50" s="122">
        <f t="shared" si="66"/>
        <v>1.7238634860514189E-4</v>
      </c>
      <c r="O50" s="97">
        <f t="shared" si="67"/>
        <v>1.5514771374462773E-4</v>
      </c>
      <c r="P50" s="123">
        <f t="shared" si="68"/>
        <v>1.4104337613147976E-4</v>
      </c>
      <c r="Q50" s="127">
        <f t="shared" si="69"/>
        <v>0.21222410865874361</v>
      </c>
      <c r="R50" s="91">
        <f t="shared" si="70"/>
        <v>0.63469827586206895</v>
      </c>
      <c r="S50" s="92">
        <f t="shared" si="90"/>
        <v>0.26259196378041882</v>
      </c>
      <c r="T50" s="92">
        <f t="shared" si="71"/>
        <v>0.76599425775227836</v>
      </c>
      <c r="U50" s="92" t="e">
        <f t="shared" si="91"/>
        <v>#DIV/0!</v>
      </c>
      <c r="V50" s="118">
        <f t="shared" si="72"/>
        <v>0.29446943490030314</v>
      </c>
      <c r="W50" s="103">
        <f t="shared" si="73"/>
        <v>0.26185611043145401</v>
      </c>
      <c r="X50" s="117">
        <f t="shared" si="92"/>
        <v>0.63469827586206895</v>
      </c>
      <c r="Y50" s="103">
        <f t="shared" si="93"/>
        <v>0.26259196378041882</v>
      </c>
      <c r="Z50" s="103">
        <f t="shared" si="94"/>
        <v>0.56734104814648345</v>
      </c>
      <c r="AA50" s="118">
        <f t="shared" si="95"/>
        <v>0.39094999857051155</v>
      </c>
      <c r="AB50" s="117">
        <f t="shared" si="96"/>
        <v>0</v>
      </c>
      <c r="AC50" s="103">
        <f t="shared" si="97"/>
        <v>0</v>
      </c>
      <c r="AD50" s="103" t="e">
        <f t="shared" si="98"/>
        <v>#DIV/0!</v>
      </c>
      <c r="AE50" s="118">
        <f t="shared" si="99"/>
        <v>0</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163">
        <f t="shared" si="116"/>
        <v>7.5631325973622918E-2</v>
      </c>
      <c r="AW50" s="143">
        <f t="shared" si="74"/>
        <v>0</v>
      </c>
      <c r="AX50" s="154">
        <f t="shared" si="117"/>
        <v>0</v>
      </c>
      <c r="AY50" s="155">
        <v>46</v>
      </c>
      <c r="AZ50" s="156">
        <f t="shared" si="118"/>
        <v>0</v>
      </c>
      <c r="BA50" s="157">
        <f t="shared" si="119"/>
        <v>229.956204915982</v>
      </c>
      <c r="BB50" s="158">
        <f t="shared" si="120"/>
        <v>8.4853839613997353E-2</v>
      </c>
      <c r="BC50" s="157">
        <f t="shared" si="75"/>
        <v>230.77286348656418</v>
      </c>
      <c r="BD50" s="159">
        <f t="shared" si="121"/>
        <v>8.5155186626542173E-2</v>
      </c>
      <c r="BE50" s="24" t="e">
        <f t="shared" si="122"/>
        <v>#DIV/0!</v>
      </c>
      <c r="BF50" s="27" t="e">
        <f t="shared" si="123"/>
        <v>#DIV/0!</v>
      </c>
      <c r="BG50" s="24" t="e">
        <f t="shared" si="124"/>
        <v>#DIV/0!</v>
      </c>
      <c r="BH50" s="61" t="e">
        <f t="shared" si="125"/>
        <v>#DIV/0!</v>
      </c>
      <c r="BI50" s="24">
        <f t="shared" si="126"/>
        <v>0</v>
      </c>
      <c r="BJ50" s="27" t="e">
        <f t="shared" si="127"/>
        <v>#DIV/0!</v>
      </c>
      <c r="BK50" s="24">
        <f t="shared" si="128"/>
        <v>0</v>
      </c>
      <c r="BL50" s="27">
        <f t="shared" si="129"/>
        <v>0</v>
      </c>
      <c r="BM50" s="24">
        <f t="shared" si="130"/>
        <v>0</v>
      </c>
      <c r="BN50" s="27">
        <f t="shared" si="131"/>
        <v>0</v>
      </c>
      <c r="BO50" s="24">
        <f t="shared" si="132"/>
        <v>0</v>
      </c>
      <c r="BP50" s="27">
        <f t="shared" si="133"/>
        <v>0</v>
      </c>
      <c r="BQ50" s="147">
        <f t="shared" si="134"/>
        <v>0</v>
      </c>
      <c r="BR50" s="27">
        <f t="shared" si="135"/>
        <v>0</v>
      </c>
      <c r="BS50" s="91" t="e">
        <f t="shared" si="76"/>
        <v>#DIV/0!</v>
      </c>
      <c r="BT50" s="101" t="e">
        <f t="shared" si="77"/>
        <v>#DIV/0!</v>
      </c>
      <c r="BU50" s="206" t="e">
        <f t="shared" si="78"/>
        <v>#DIV/0!</v>
      </c>
      <c r="BV50" s="97" t="e">
        <f t="shared" si="79"/>
        <v>#DIV/0!</v>
      </c>
      <c r="BW50" s="123" t="e">
        <f t="shared" si="80"/>
        <v>#DIV/0!</v>
      </c>
      <c r="BX50" s="91">
        <f t="shared" si="81"/>
        <v>1.2700537864149821E-3</v>
      </c>
      <c r="BY50" s="92">
        <f t="shared" si="136"/>
        <v>5.0000000000000001E-3</v>
      </c>
      <c r="BZ50" s="233">
        <f t="shared" si="137"/>
        <v>0</v>
      </c>
      <c r="CA50" s="92">
        <f t="shared" si="138"/>
        <v>0</v>
      </c>
      <c r="CB50" s="92">
        <f t="shared" si="139"/>
        <v>0</v>
      </c>
      <c r="CC50" s="92">
        <f t="shared" si="140"/>
        <v>0</v>
      </c>
      <c r="CD50" s="92">
        <f t="shared" si="141"/>
        <v>0</v>
      </c>
      <c r="CE50" s="127">
        <f t="shared" si="82"/>
        <v>6.270053786414982E-3</v>
      </c>
      <c r="CF50" s="91">
        <f t="shared" si="83"/>
        <v>5.2616514008620675E-3</v>
      </c>
      <c r="CG50" s="92">
        <f t="shared" si="142"/>
        <v>0.2018721336206897</v>
      </c>
      <c r="CH50" s="92">
        <f t="shared" si="143"/>
        <v>4.7602370689655178E-3</v>
      </c>
      <c r="CI50" s="92">
        <f t="shared" si="144"/>
        <v>0.33408000000000004</v>
      </c>
      <c r="CJ50" s="93">
        <f t="shared" si="145"/>
        <v>0.09</v>
      </c>
      <c r="CK50" s="127">
        <f t="shared" si="84"/>
        <v>0.63597402209051734</v>
      </c>
      <c r="CL50" s="91">
        <f t="shared" si="146"/>
        <v>0.15</v>
      </c>
      <c r="CM50" s="92">
        <f t="shared" si="147"/>
        <v>0</v>
      </c>
      <c r="CN50" s="92">
        <f t="shared" si="148"/>
        <v>0</v>
      </c>
      <c r="CO50" s="92">
        <f t="shared" si="149"/>
        <v>0</v>
      </c>
      <c r="CP50" s="92">
        <f t="shared" si="150"/>
        <v>0</v>
      </c>
      <c r="CQ50" s="92">
        <f t="shared" si="151"/>
        <v>0</v>
      </c>
      <c r="CR50" s="127">
        <f t="shared" si="85"/>
        <v>0.15</v>
      </c>
      <c r="CS50" s="92">
        <f t="shared" si="86"/>
        <v>0.79224407587693235</v>
      </c>
      <c r="CT50" s="92">
        <f t="shared" si="152"/>
        <v>8.2922440758769316</v>
      </c>
      <c r="CU50" s="93">
        <f t="shared" si="153"/>
        <v>0.9044596289463237</v>
      </c>
      <c r="CV50">
        <f t="shared" si="87"/>
        <v>55.680000000000007</v>
      </c>
    </row>
    <row r="51" spans="1:100" ht="14.7" thickBot="1" x14ac:dyDescent="0.6">
      <c r="A51" s="12" t="s">
        <v>396</v>
      </c>
      <c r="B51" s="176">
        <f>IF(AND(Vout6&lt;&gt;0,Iout6&lt;&gt;0),(Iout6*B10)/(Vout6_Ripple*(10^-3)),0)</f>
        <v>0</v>
      </c>
      <c r="C51" s="12" t="s">
        <v>343</v>
      </c>
      <c r="K51">
        <v>47</v>
      </c>
      <c r="L51" s="91">
        <f t="shared" si="88"/>
        <v>56.760000000000005</v>
      </c>
      <c r="M51" s="93">
        <f t="shared" si="89"/>
        <v>0.1321353065539112</v>
      </c>
      <c r="N51" s="122">
        <f t="shared" si="66"/>
        <v>1.7378705060470362E-4</v>
      </c>
      <c r="O51" s="97">
        <f t="shared" si="67"/>
        <v>1.5640834554423323E-4</v>
      </c>
      <c r="P51" s="123">
        <f t="shared" si="68"/>
        <v>1.4218940504021201E-4</v>
      </c>
      <c r="Q51" s="127">
        <f t="shared" si="69"/>
        <v>0.20903010033444813</v>
      </c>
      <c r="R51" s="91">
        <f t="shared" si="70"/>
        <v>0.63213530655391126</v>
      </c>
      <c r="S51" s="92">
        <f t="shared" si="90"/>
        <v>0.26365663322185062</v>
      </c>
      <c r="T51" s="92">
        <f t="shared" si="71"/>
        <v>0.76396362316483657</v>
      </c>
      <c r="U51" s="92" t="e">
        <f t="shared" si="91"/>
        <v>#DIV/0!</v>
      </c>
      <c r="V51" s="118">
        <f t="shared" si="72"/>
        <v>0.29109840833621198</v>
      </c>
      <c r="W51" s="103">
        <f t="shared" si="73"/>
        <v>0.25938107891243711</v>
      </c>
      <c r="X51" s="117">
        <f t="shared" si="92"/>
        <v>0.63213530655391115</v>
      </c>
      <c r="Y51" s="103">
        <f t="shared" si="93"/>
        <v>0.26365663322185068</v>
      </c>
      <c r="Z51" s="103">
        <f t="shared" si="94"/>
        <v>0.56625936119675291</v>
      </c>
      <c r="AA51" s="118">
        <f t="shared" si="95"/>
        <v>0.38677518766333396</v>
      </c>
      <c r="AB51" s="117">
        <f t="shared" si="96"/>
        <v>0</v>
      </c>
      <c r="AC51" s="103">
        <f t="shared" si="97"/>
        <v>0</v>
      </c>
      <c r="AD51" s="103" t="e">
        <f t="shared" si="98"/>
        <v>#DIV/0!</v>
      </c>
      <c r="AE51" s="118">
        <f t="shared" si="99"/>
        <v>0</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163">
        <f t="shared" si="116"/>
        <v>7.5937970397998433E-2</v>
      </c>
      <c r="AW51" s="143">
        <f t="shared" si="74"/>
        <v>0</v>
      </c>
      <c r="AX51" s="154">
        <f t="shared" si="117"/>
        <v>0</v>
      </c>
      <c r="AY51" s="155">
        <v>47</v>
      </c>
      <c r="AZ51" s="156">
        <f t="shared" si="118"/>
        <v>0</v>
      </c>
      <c r="BA51" s="157">
        <f t="shared" si="119"/>
        <v>232.4446064597048</v>
      </c>
      <c r="BB51" s="158">
        <f t="shared" si="120"/>
        <v>8.5772059783631061E-2</v>
      </c>
      <c r="BC51" s="157">
        <f t="shared" si="75"/>
        <v>233.08140404154668</v>
      </c>
      <c r="BD51" s="159">
        <f t="shared" si="121"/>
        <v>8.6007038091330729E-2</v>
      </c>
      <c r="BE51" s="24" t="e">
        <f t="shared" si="122"/>
        <v>#DIV/0!</v>
      </c>
      <c r="BF51" s="27" t="e">
        <f t="shared" si="123"/>
        <v>#DIV/0!</v>
      </c>
      <c r="BG51" s="24" t="e">
        <f t="shared" si="124"/>
        <v>#DIV/0!</v>
      </c>
      <c r="BH51" s="61" t="e">
        <f t="shared" si="125"/>
        <v>#DIV/0!</v>
      </c>
      <c r="BI51" s="24">
        <f t="shared" si="126"/>
        <v>0</v>
      </c>
      <c r="BJ51" s="27" t="e">
        <f t="shared" si="127"/>
        <v>#DIV/0!</v>
      </c>
      <c r="BK51" s="24">
        <f t="shared" si="128"/>
        <v>0</v>
      </c>
      <c r="BL51" s="27">
        <f t="shared" si="129"/>
        <v>0</v>
      </c>
      <c r="BM51" s="24">
        <f t="shared" si="130"/>
        <v>0</v>
      </c>
      <c r="BN51" s="27">
        <f t="shared" si="131"/>
        <v>0</v>
      </c>
      <c r="BO51" s="24">
        <f t="shared" si="132"/>
        <v>0</v>
      </c>
      <c r="BP51" s="27">
        <f t="shared" si="133"/>
        <v>0</v>
      </c>
      <c r="BQ51" s="147">
        <f t="shared" si="134"/>
        <v>0</v>
      </c>
      <c r="BR51" s="27">
        <f t="shared" si="135"/>
        <v>0</v>
      </c>
      <c r="BS51" s="91" t="e">
        <f t="shared" si="76"/>
        <v>#DIV/0!</v>
      </c>
      <c r="BT51" s="101" t="e">
        <f t="shared" si="77"/>
        <v>#DIV/0!</v>
      </c>
      <c r="BU51" s="206" t="e">
        <f t="shared" si="78"/>
        <v>#DIV/0!</v>
      </c>
      <c r="BV51" s="97" t="e">
        <f t="shared" si="79"/>
        <v>#DIV/0!</v>
      </c>
      <c r="BW51" s="123" t="e">
        <f t="shared" si="80"/>
        <v>#DIV/0!</v>
      </c>
      <c r="BX51" s="91">
        <f t="shared" si="81"/>
        <v>1.2221817466667264E-3</v>
      </c>
      <c r="BY51" s="92">
        <f t="shared" si="136"/>
        <v>5.0000000000000001E-3</v>
      </c>
      <c r="BZ51" s="233">
        <f t="shared" si="137"/>
        <v>0</v>
      </c>
      <c r="CA51" s="92">
        <f t="shared" si="138"/>
        <v>0</v>
      </c>
      <c r="CB51" s="92">
        <f t="shared" si="139"/>
        <v>0</v>
      </c>
      <c r="CC51" s="92">
        <f t="shared" si="140"/>
        <v>0</v>
      </c>
      <c r="CD51" s="92">
        <f t="shared" si="141"/>
        <v>0</v>
      </c>
      <c r="CE51" s="127">
        <f t="shared" si="82"/>
        <v>6.222181746666727E-3</v>
      </c>
      <c r="CF51" s="91">
        <f t="shared" si="83"/>
        <v>5.0633243790478661E-3</v>
      </c>
      <c r="CG51" s="92">
        <f t="shared" si="142"/>
        <v>0.20412913319238907</v>
      </c>
      <c r="CH51" s="92">
        <f t="shared" si="143"/>
        <v>4.7410147991543356E-3</v>
      </c>
      <c r="CI51" s="92">
        <f t="shared" si="144"/>
        <v>0.34056000000000003</v>
      </c>
      <c r="CJ51" s="93">
        <f t="shared" si="145"/>
        <v>0.09</v>
      </c>
      <c r="CK51" s="127">
        <f t="shared" si="84"/>
        <v>0.64449347237059129</v>
      </c>
      <c r="CL51" s="91">
        <f t="shared" si="146"/>
        <v>0.15</v>
      </c>
      <c r="CM51" s="92">
        <f t="shared" si="147"/>
        <v>0</v>
      </c>
      <c r="CN51" s="92">
        <f t="shared" si="148"/>
        <v>0</v>
      </c>
      <c r="CO51" s="92">
        <f t="shared" si="149"/>
        <v>0</v>
      </c>
      <c r="CP51" s="92">
        <f t="shared" si="150"/>
        <v>0</v>
      </c>
      <c r="CQ51" s="92">
        <f t="shared" si="151"/>
        <v>0</v>
      </c>
      <c r="CR51" s="127">
        <f t="shared" si="85"/>
        <v>0.15</v>
      </c>
      <c r="CS51" s="92">
        <f t="shared" si="86"/>
        <v>0.80071565411725809</v>
      </c>
      <c r="CT51" s="92">
        <f t="shared" si="152"/>
        <v>8.3007156541172584</v>
      </c>
      <c r="CU51" s="93">
        <f t="shared" si="153"/>
        <v>0.90353655184898507</v>
      </c>
      <c r="CV51">
        <f t="shared" si="87"/>
        <v>56.760000000000005</v>
      </c>
    </row>
    <row r="52" spans="1:100" ht="14.7" thickBot="1" x14ac:dyDescent="0.6">
      <c r="A52" s="12" t="s">
        <v>397</v>
      </c>
      <c r="B52" s="176">
        <f>COUT6_FBB</f>
        <v>0</v>
      </c>
      <c r="C52" s="12" t="s">
        <v>343</v>
      </c>
      <c r="K52">
        <v>48</v>
      </c>
      <c r="L52" s="91">
        <f t="shared" si="88"/>
        <v>57.84</v>
      </c>
      <c r="M52" s="93">
        <f t="shared" si="89"/>
        <v>0.1296680497925311</v>
      </c>
      <c r="N52" s="122">
        <f t="shared" si="66"/>
        <v>1.751516341323886E-4</v>
      </c>
      <c r="O52" s="97">
        <f t="shared" si="67"/>
        <v>1.5763647071914978E-4</v>
      </c>
      <c r="P52" s="123">
        <f t="shared" si="68"/>
        <v>1.433058824719543E-4</v>
      </c>
      <c r="Q52" s="127">
        <f t="shared" si="69"/>
        <v>0.20593080724876442</v>
      </c>
      <c r="R52" s="91">
        <f t="shared" si="70"/>
        <v>0.62966804979253099</v>
      </c>
      <c r="S52" s="92">
        <f t="shared" si="90"/>
        <v>0.26468973091707859</v>
      </c>
      <c r="T52" s="92">
        <f t="shared" si="71"/>
        <v>0.76201291525107029</v>
      </c>
      <c r="U52" s="92" t="e">
        <f t="shared" si="91"/>
        <v>#DIV/0!</v>
      </c>
      <c r="V52" s="118">
        <f t="shared" si="72"/>
        <v>0.2878369884967148</v>
      </c>
      <c r="W52" s="103">
        <f t="shared" si="73"/>
        <v>0.25697534669664246</v>
      </c>
      <c r="X52" s="117">
        <f t="shared" si="92"/>
        <v>0.6296680497925311</v>
      </c>
      <c r="Y52" s="103">
        <f t="shared" si="93"/>
        <v>0.26468973091707854</v>
      </c>
      <c r="Z52" s="103">
        <f t="shared" si="94"/>
        <v>0.56521686880973776</v>
      </c>
      <c r="AA52" s="118">
        <f t="shared" si="95"/>
        <v>0.38272947747662373</v>
      </c>
      <c r="AB52" s="117">
        <f t="shared" si="96"/>
        <v>0</v>
      </c>
      <c r="AC52" s="103">
        <f t="shared" si="97"/>
        <v>0</v>
      </c>
      <c r="AD52" s="103" t="e">
        <f t="shared" si="98"/>
        <v>#DIV/0!</v>
      </c>
      <c r="AE52" s="118">
        <f t="shared" si="99"/>
        <v>0</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163">
        <f t="shared" si="116"/>
        <v>7.6235521577499576E-2</v>
      </c>
      <c r="AW52" s="143">
        <f t="shared" si="74"/>
        <v>0</v>
      </c>
      <c r="AX52" s="154">
        <f t="shared" si="117"/>
        <v>0</v>
      </c>
      <c r="AY52" s="155">
        <v>48</v>
      </c>
      <c r="AZ52" s="156">
        <f t="shared" si="118"/>
        <v>0</v>
      </c>
      <c r="BA52" s="157">
        <f t="shared" si="119"/>
        <v>234.87521570872843</v>
      </c>
      <c r="BB52" s="158">
        <f t="shared" si="120"/>
        <v>8.6668954596520797E-2</v>
      </c>
      <c r="BC52" s="157">
        <f t="shared" si="75"/>
        <v>235.3345360966488</v>
      </c>
      <c r="BD52" s="159">
        <f t="shared" si="121"/>
        <v>8.6838443819663408E-2</v>
      </c>
      <c r="BE52" s="24" t="e">
        <f t="shared" si="122"/>
        <v>#DIV/0!</v>
      </c>
      <c r="BF52" s="27" t="e">
        <f t="shared" si="123"/>
        <v>#DIV/0!</v>
      </c>
      <c r="BG52" s="24" t="e">
        <f t="shared" si="124"/>
        <v>#DIV/0!</v>
      </c>
      <c r="BH52" s="61" t="e">
        <f t="shared" si="125"/>
        <v>#DIV/0!</v>
      </c>
      <c r="BI52" s="24">
        <f t="shared" si="126"/>
        <v>0</v>
      </c>
      <c r="BJ52" s="27" t="e">
        <f t="shared" si="127"/>
        <v>#DIV/0!</v>
      </c>
      <c r="BK52" s="24">
        <f t="shared" si="128"/>
        <v>0</v>
      </c>
      <c r="BL52" s="27">
        <f t="shared" si="129"/>
        <v>0</v>
      </c>
      <c r="BM52" s="24">
        <f t="shared" si="130"/>
        <v>0</v>
      </c>
      <c r="BN52" s="27">
        <f t="shared" si="131"/>
        <v>0</v>
      </c>
      <c r="BO52" s="24">
        <f t="shared" si="132"/>
        <v>0</v>
      </c>
      <c r="BP52" s="27">
        <f t="shared" si="133"/>
        <v>0</v>
      </c>
      <c r="BQ52" s="147">
        <f t="shared" si="134"/>
        <v>0</v>
      </c>
      <c r="BR52" s="27">
        <f t="shared" si="135"/>
        <v>0</v>
      </c>
      <c r="BS52" s="91" t="e">
        <f t="shared" si="76"/>
        <v>#DIV/0!</v>
      </c>
      <c r="BT52" s="101" t="e">
        <f t="shared" si="77"/>
        <v>#DIV/0!</v>
      </c>
      <c r="BU52" s="206" t="e">
        <f t="shared" si="78"/>
        <v>#DIV/0!</v>
      </c>
      <c r="BV52" s="97" t="e">
        <f t="shared" si="79"/>
        <v>#DIV/0!</v>
      </c>
      <c r="BW52" s="123" t="e">
        <f t="shared" si="80"/>
        <v>#DIV/0!</v>
      </c>
      <c r="BX52" s="91">
        <f t="shared" si="81"/>
        <v>1.1769662195898827E-3</v>
      </c>
      <c r="BY52" s="92">
        <f t="shared" si="136"/>
        <v>5.0000000000000001E-3</v>
      </c>
      <c r="BZ52" s="233">
        <f t="shared" si="137"/>
        <v>0</v>
      </c>
      <c r="CA52" s="92">
        <f t="shared" si="138"/>
        <v>0</v>
      </c>
      <c r="CB52" s="92">
        <f t="shared" si="139"/>
        <v>0</v>
      </c>
      <c r="CC52" s="92">
        <f t="shared" si="140"/>
        <v>0</v>
      </c>
      <c r="CD52" s="92">
        <f t="shared" si="141"/>
        <v>0</v>
      </c>
      <c r="CE52" s="127">
        <f t="shared" si="82"/>
        <v>6.1769662195898826E-3</v>
      </c>
      <c r="CF52" s="91">
        <f t="shared" si="83"/>
        <v>4.8760029097295139E-3</v>
      </c>
      <c r="CG52" s="92">
        <f t="shared" si="142"/>
        <v>0.20639259336099586</v>
      </c>
      <c r="CH52" s="92">
        <f t="shared" si="143"/>
        <v>4.7225103734439833E-3</v>
      </c>
      <c r="CI52" s="92">
        <f t="shared" si="144"/>
        <v>0.34704000000000002</v>
      </c>
      <c r="CJ52" s="93">
        <f t="shared" si="145"/>
        <v>0.09</v>
      </c>
      <c r="CK52" s="127">
        <f t="shared" si="84"/>
        <v>0.6530311066441693</v>
      </c>
      <c r="CL52" s="91">
        <f t="shared" si="146"/>
        <v>0.15</v>
      </c>
      <c r="CM52" s="92">
        <f t="shared" si="147"/>
        <v>0</v>
      </c>
      <c r="CN52" s="92">
        <f t="shared" si="148"/>
        <v>0</v>
      </c>
      <c r="CO52" s="92">
        <f t="shared" si="149"/>
        <v>0</v>
      </c>
      <c r="CP52" s="92">
        <f t="shared" si="150"/>
        <v>0</v>
      </c>
      <c r="CQ52" s="92">
        <f t="shared" si="151"/>
        <v>0</v>
      </c>
      <c r="CR52" s="127">
        <f t="shared" si="85"/>
        <v>0.15</v>
      </c>
      <c r="CS52" s="92">
        <f t="shared" si="86"/>
        <v>0.80920807286375918</v>
      </c>
      <c r="CT52" s="92">
        <f t="shared" si="152"/>
        <v>8.3092080728637594</v>
      </c>
      <c r="CU52" s="93">
        <f t="shared" si="153"/>
        <v>0.90261309311696336</v>
      </c>
      <c r="CV52">
        <f t="shared" si="87"/>
        <v>57.84</v>
      </c>
    </row>
    <row r="53" spans="1:100" ht="14.7" thickBot="1" x14ac:dyDescent="0.6">
      <c r="A53" s="524" t="s">
        <v>423</v>
      </c>
      <c r="B53" s="524"/>
      <c r="C53" s="524"/>
      <c r="K53">
        <v>49</v>
      </c>
      <c r="L53" s="91">
        <f t="shared" si="88"/>
        <v>58.92</v>
      </c>
      <c r="M53" s="93">
        <f t="shared" si="89"/>
        <v>0.12729124236252545</v>
      </c>
      <c r="N53" s="122">
        <f t="shared" si="66"/>
        <v>1.7648144829557165E-4</v>
      </c>
      <c r="O53" s="97">
        <f t="shared" si="67"/>
        <v>1.5883330346601454E-4</v>
      </c>
      <c r="P53" s="123">
        <f t="shared" si="68"/>
        <v>1.4439391224183135E-4</v>
      </c>
      <c r="Q53" s="127">
        <f t="shared" si="69"/>
        <v>0.20292207792207792</v>
      </c>
      <c r="R53" s="91">
        <f t="shared" si="70"/>
        <v>0.62729124236252543</v>
      </c>
      <c r="S53" s="92">
        <f t="shared" si="90"/>
        <v>0.26569264069264076</v>
      </c>
      <c r="T53" s="92">
        <f t="shared" si="71"/>
        <v>0.7601375627088458</v>
      </c>
      <c r="U53" s="92" t="e">
        <f t="shared" si="91"/>
        <v>#DIV/0!</v>
      </c>
      <c r="V53" s="118">
        <f t="shared" si="72"/>
        <v>0.28467949399904519</v>
      </c>
      <c r="W53" s="103">
        <f t="shared" si="73"/>
        <v>0.25463572789645444</v>
      </c>
      <c r="X53" s="117">
        <f t="shared" si="92"/>
        <v>0.62729124236252543</v>
      </c>
      <c r="Y53" s="103">
        <f t="shared" si="93"/>
        <v>0.26569264069264076</v>
      </c>
      <c r="Z53" s="103">
        <f t="shared" si="94"/>
        <v>0.56421148817119438</v>
      </c>
      <c r="AA53" s="118">
        <f t="shared" si="95"/>
        <v>0.37880641856325592</v>
      </c>
      <c r="AB53" s="117">
        <f t="shared" si="96"/>
        <v>0</v>
      </c>
      <c r="AC53" s="103">
        <f t="shared" si="97"/>
        <v>0</v>
      </c>
      <c r="AD53" s="103" t="e">
        <f t="shared" si="98"/>
        <v>#DIV/0!</v>
      </c>
      <c r="AE53" s="118">
        <f t="shared" si="99"/>
        <v>0</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163">
        <f t="shared" si="116"/>
        <v>7.6524378079677616E-2</v>
      </c>
      <c r="AW53" s="143">
        <f t="shared" si="74"/>
        <v>0</v>
      </c>
      <c r="AX53" s="154">
        <f t="shared" si="117"/>
        <v>0</v>
      </c>
      <c r="AY53" s="155">
        <v>49</v>
      </c>
      <c r="AZ53" s="156">
        <f t="shared" si="118"/>
        <v>0</v>
      </c>
      <c r="BA53" s="157">
        <f t="shared" si="119"/>
        <v>237.24991374044558</v>
      </c>
      <c r="BB53" s="158">
        <f t="shared" si="120"/>
        <v>8.7545218170224412E-2</v>
      </c>
      <c r="BC53" s="157">
        <f t="shared" si="75"/>
        <v>237.53414682099353</v>
      </c>
      <c r="BD53" s="159">
        <f t="shared" si="121"/>
        <v>8.7650100176946605E-2</v>
      </c>
      <c r="BE53" s="24" t="e">
        <f t="shared" si="122"/>
        <v>#DIV/0!</v>
      </c>
      <c r="BF53" s="27" t="e">
        <f t="shared" si="123"/>
        <v>#DIV/0!</v>
      </c>
      <c r="BG53" s="24" t="e">
        <f t="shared" si="124"/>
        <v>#DIV/0!</v>
      </c>
      <c r="BH53" s="61" t="e">
        <f t="shared" si="125"/>
        <v>#DIV/0!</v>
      </c>
      <c r="BI53" s="24">
        <f t="shared" si="126"/>
        <v>0</v>
      </c>
      <c r="BJ53" s="27" t="e">
        <f t="shared" si="127"/>
        <v>#DIV/0!</v>
      </c>
      <c r="BK53" s="24">
        <f t="shared" si="128"/>
        <v>0</v>
      </c>
      <c r="BL53" s="27">
        <f t="shared" si="129"/>
        <v>0</v>
      </c>
      <c r="BM53" s="24">
        <f t="shared" si="130"/>
        <v>0</v>
      </c>
      <c r="BN53" s="27">
        <f t="shared" si="131"/>
        <v>0</v>
      </c>
      <c r="BO53" s="24">
        <f t="shared" si="132"/>
        <v>0</v>
      </c>
      <c r="BP53" s="27">
        <f t="shared" si="133"/>
        <v>0</v>
      </c>
      <c r="BQ53" s="147">
        <f t="shared" si="134"/>
        <v>0</v>
      </c>
      <c r="BR53" s="27">
        <f t="shared" si="135"/>
        <v>0</v>
      </c>
      <c r="BS53" s="91" t="e">
        <f t="shared" si="76"/>
        <v>#DIV/0!</v>
      </c>
      <c r="BT53" s="101" t="e">
        <f t="shared" si="77"/>
        <v>#DIV/0!</v>
      </c>
      <c r="BU53" s="206" t="e">
        <f t="shared" si="78"/>
        <v>#DIV/0!</v>
      </c>
      <c r="BV53" s="97" t="e">
        <f t="shared" si="79"/>
        <v>#DIV/0!</v>
      </c>
      <c r="BW53" s="123" t="e">
        <f t="shared" si="80"/>
        <v>#DIV/0!</v>
      </c>
      <c r="BX53" s="91">
        <f t="shared" si="81"/>
        <v>1.1342142267536637E-3</v>
      </c>
      <c r="BY53" s="92">
        <f t="shared" si="136"/>
        <v>5.0000000000000001E-3</v>
      </c>
      <c r="BZ53" s="233">
        <f t="shared" si="137"/>
        <v>0</v>
      </c>
      <c r="CA53" s="92">
        <f t="shared" si="138"/>
        <v>0</v>
      </c>
      <c r="CB53" s="92">
        <f t="shared" si="139"/>
        <v>0</v>
      </c>
      <c r="CC53" s="92">
        <f t="shared" si="140"/>
        <v>0</v>
      </c>
      <c r="CD53" s="92">
        <f t="shared" si="141"/>
        <v>0</v>
      </c>
      <c r="CE53" s="127">
        <f t="shared" si="82"/>
        <v>6.1342142267536634E-3</v>
      </c>
      <c r="CF53" s="91">
        <f t="shared" si="83"/>
        <v>4.6988875108366062E-3</v>
      </c>
      <c r="CG53" s="92">
        <f t="shared" si="142"/>
        <v>0.20866215885947048</v>
      </c>
      <c r="CH53" s="92">
        <f t="shared" si="143"/>
        <v>4.7046843177189403E-3</v>
      </c>
      <c r="CI53" s="92">
        <f t="shared" si="144"/>
        <v>0.35352</v>
      </c>
      <c r="CJ53" s="93">
        <f t="shared" si="145"/>
        <v>0.09</v>
      </c>
      <c r="CK53" s="127">
        <f t="shared" si="84"/>
        <v>0.66158573068802606</v>
      </c>
      <c r="CL53" s="91">
        <f t="shared" si="146"/>
        <v>0.15</v>
      </c>
      <c r="CM53" s="92">
        <f t="shared" si="147"/>
        <v>0</v>
      </c>
      <c r="CN53" s="92">
        <f t="shared" si="148"/>
        <v>0</v>
      </c>
      <c r="CO53" s="92">
        <f t="shared" si="149"/>
        <v>0</v>
      </c>
      <c r="CP53" s="92">
        <f t="shared" si="150"/>
        <v>0</v>
      </c>
      <c r="CQ53" s="92">
        <f t="shared" si="151"/>
        <v>0</v>
      </c>
      <c r="CR53" s="127">
        <f t="shared" si="85"/>
        <v>0.15</v>
      </c>
      <c r="CS53" s="92">
        <f t="shared" si="86"/>
        <v>0.81771994491477973</v>
      </c>
      <c r="CT53" s="92">
        <f t="shared" si="152"/>
        <v>8.3177199449147796</v>
      </c>
      <c r="CU53" s="93">
        <f t="shared" si="153"/>
        <v>0.90168941124127289</v>
      </c>
      <c r="CV53">
        <f t="shared" si="87"/>
        <v>58.92</v>
      </c>
    </row>
    <row r="54" spans="1:100" ht="14.7" thickBot="1" x14ac:dyDescent="0.6">
      <c r="A54" s="204" t="s">
        <v>432</v>
      </c>
      <c r="B54" s="12">
        <f>IF(AND(Vout1&lt;&gt;0,Iout1&lt;&gt;0,Ns1_FlyBB&lt;&gt;0),ABS(Vout1)+((Ns1_FlyBB/Np)*VinMax),0)</f>
        <v>75</v>
      </c>
      <c r="C54" s="12"/>
      <c r="K54">
        <v>50</v>
      </c>
      <c r="L54" s="104">
        <f t="shared" si="88"/>
        <v>60</v>
      </c>
      <c r="M54" s="108">
        <f t="shared" si="89"/>
        <v>0.125</v>
      </c>
      <c r="N54" s="124">
        <f t="shared" si="66"/>
        <v>1.7777777777777773E-4</v>
      </c>
      <c r="O54" s="125">
        <f t="shared" si="67"/>
        <v>1.6000000000000001E-4</v>
      </c>
      <c r="P54" s="126">
        <f t="shared" si="68"/>
        <v>1.4545454545454546E-4</v>
      </c>
      <c r="Q54" s="128">
        <f t="shared" si="69"/>
        <v>0.2</v>
      </c>
      <c r="R54" s="104">
        <f>M54/(Q54)</f>
        <v>0.625</v>
      </c>
      <c r="S54" s="106">
        <f t="shared" si="90"/>
        <v>0.26666666666666672</v>
      </c>
      <c r="T54" s="106">
        <f t="shared" si="71"/>
        <v>0.7583333333333333</v>
      </c>
      <c r="U54" s="106" t="e">
        <f t="shared" si="91"/>
        <v>#DIV/0!</v>
      </c>
      <c r="V54" s="121">
        <f t="shared" si="72"/>
        <v>0.28162064055247293</v>
      </c>
      <c r="W54" s="120">
        <f t="shared" si="73"/>
        <v>0.25235923835910024</v>
      </c>
      <c r="X54" s="119">
        <f t="shared" si="92"/>
        <v>0.625</v>
      </c>
      <c r="Y54" s="120">
        <f t="shared" si="93"/>
        <v>0.26666666666666672</v>
      </c>
      <c r="Z54" s="120">
        <f t="shared" si="94"/>
        <v>0.56324128110494587</v>
      </c>
      <c r="AA54" s="121">
        <f t="shared" si="95"/>
        <v>0.375</v>
      </c>
      <c r="AB54" s="119">
        <f t="shared" si="96"/>
        <v>0</v>
      </c>
      <c r="AC54" s="120">
        <f t="shared" si="97"/>
        <v>0</v>
      </c>
      <c r="AD54" s="120" t="e">
        <f t="shared" si="98"/>
        <v>#DIV/0!</v>
      </c>
      <c r="AE54" s="121">
        <f t="shared" si="99"/>
        <v>0</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164">
        <f t="shared" si="116"/>
        <v>7.6804915514592939E-2</v>
      </c>
      <c r="AW54" s="146">
        <f t="shared" si="74"/>
        <v>0</v>
      </c>
      <c r="AX54" s="165">
        <f t="shared" si="117"/>
        <v>0</v>
      </c>
      <c r="AY54" s="166">
        <v>50</v>
      </c>
      <c r="AZ54" s="167">
        <f t="shared" si="118"/>
        <v>0</v>
      </c>
      <c r="BA54" s="168">
        <f t="shared" si="119"/>
        <v>239.57050807057428</v>
      </c>
      <c r="BB54" s="169">
        <f t="shared" si="120"/>
        <v>8.8401517478041911E-2</v>
      </c>
      <c r="BC54" s="168">
        <f t="shared" si="75"/>
        <v>239.68204413983187</v>
      </c>
      <c r="BD54" s="170">
        <f t="shared" si="121"/>
        <v>8.8442674287597972E-2</v>
      </c>
      <c r="BE54" s="171" t="e">
        <f t="shared" si="122"/>
        <v>#DIV/0!</v>
      </c>
      <c r="BF54" s="172" t="e">
        <f t="shared" si="123"/>
        <v>#DIV/0!</v>
      </c>
      <c r="BG54" s="171" t="e">
        <f t="shared" si="124"/>
        <v>#DIV/0!</v>
      </c>
      <c r="BH54" s="173" t="e">
        <f t="shared" si="125"/>
        <v>#DIV/0!</v>
      </c>
      <c r="BI54" s="171">
        <f t="shared" si="126"/>
        <v>0</v>
      </c>
      <c r="BJ54" s="172" t="e">
        <f t="shared" si="127"/>
        <v>#DIV/0!</v>
      </c>
      <c r="BK54" s="171">
        <f t="shared" si="128"/>
        <v>0</v>
      </c>
      <c r="BL54" s="172">
        <f t="shared" si="129"/>
        <v>0</v>
      </c>
      <c r="BM54" s="171">
        <f t="shared" si="130"/>
        <v>0</v>
      </c>
      <c r="BN54" s="172">
        <f t="shared" si="131"/>
        <v>0</v>
      </c>
      <c r="BO54" s="171">
        <f t="shared" si="132"/>
        <v>0</v>
      </c>
      <c r="BP54" s="172">
        <f t="shared" si="133"/>
        <v>0</v>
      </c>
      <c r="BQ54" s="174">
        <f t="shared" si="134"/>
        <v>0</v>
      </c>
      <c r="BR54" s="172">
        <f t="shared" si="135"/>
        <v>0</v>
      </c>
      <c r="BS54" s="104" t="e">
        <f t="shared" si="76"/>
        <v>#DIV/0!</v>
      </c>
      <c r="BT54" s="236" t="e">
        <f t="shared" si="77"/>
        <v>#DIV/0!</v>
      </c>
      <c r="BU54" s="226" t="e">
        <f t="shared" si="78"/>
        <v>#DIV/0!</v>
      </c>
      <c r="BV54" s="125" t="e">
        <f t="shared" si="79"/>
        <v>#DIV/0!</v>
      </c>
      <c r="BW54" s="126" t="e">
        <f t="shared" si="80"/>
        <v>#DIV/0!</v>
      </c>
      <c r="BX54" s="104">
        <f t="shared" si="81"/>
        <v>1.0937500000000001E-3</v>
      </c>
      <c r="BY54" s="106">
        <f t="shared" si="136"/>
        <v>5.0000000000000001E-3</v>
      </c>
      <c r="BZ54" s="234">
        <f t="shared" si="137"/>
        <v>0</v>
      </c>
      <c r="CA54" s="106">
        <f t="shared" si="138"/>
        <v>0</v>
      </c>
      <c r="CB54" s="106">
        <f t="shared" si="139"/>
        <v>0</v>
      </c>
      <c r="CC54" s="106">
        <f t="shared" si="140"/>
        <v>0</v>
      </c>
      <c r="CD54" s="106">
        <f t="shared" si="141"/>
        <v>0</v>
      </c>
      <c r="CE54" s="128">
        <f t="shared" si="82"/>
        <v>6.0937500000000002E-3</v>
      </c>
      <c r="CF54" s="104">
        <f t="shared" si="83"/>
        <v>4.5312499999999997E-3</v>
      </c>
      <c r="CG54" s="92">
        <f t="shared" si="142"/>
        <v>0.2109375</v>
      </c>
      <c r="CH54" s="92">
        <f t="shared" si="143"/>
        <v>4.6875000000000007E-3</v>
      </c>
      <c r="CI54" s="92">
        <f t="shared" si="144"/>
        <v>0.36</v>
      </c>
      <c r="CJ54" s="108">
        <f t="shared" si="145"/>
        <v>0.09</v>
      </c>
      <c r="CK54" s="128">
        <f t="shared" si="84"/>
        <v>0.6701562499999999</v>
      </c>
      <c r="CL54" s="104">
        <f t="shared" si="146"/>
        <v>0.15</v>
      </c>
      <c r="CM54" s="106">
        <f t="shared" si="147"/>
        <v>0</v>
      </c>
      <c r="CN54" s="106">
        <f t="shared" si="148"/>
        <v>0</v>
      </c>
      <c r="CO54" s="106">
        <f t="shared" si="149"/>
        <v>0</v>
      </c>
      <c r="CP54" s="106">
        <f t="shared" si="150"/>
        <v>0</v>
      </c>
      <c r="CQ54" s="106">
        <f t="shared" si="151"/>
        <v>0</v>
      </c>
      <c r="CR54" s="128">
        <f t="shared" si="85"/>
        <v>0.15</v>
      </c>
      <c r="CS54" s="106">
        <f t="shared" si="86"/>
        <v>0.82624999999999993</v>
      </c>
      <c r="CT54" s="106">
        <f t="shared" si="152"/>
        <v>8.3262499999999999</v>
      </c>
      <c r="CU54" s="108">
        <f t="shared" si="153"/>
        <v>0.90076565080318272</v>
      </c>
      <c r="CV54">
        <f t="shared" si="87"/>
        <v>60</v>
      </c>
    </row>
    <row r="55" spans="1:100" x14ac:dyDescent="0.55000000000000004">
      <c r="A55" s="204" t="s">
        <v>433</v>
      </c>
      <c r="B55" s="12">
        <f>IF(AND(Vout2&lt;&gt;0,Iout2&lt;&gt;0,Ns2_FlyBB&lt;&gt;0),ABS(Vout2)+((Ns2_FlyBB/Np)*VinMax),0)</f>
        <v>0</v>
      </c>
      <c r="C55" s="12"/>
    </row>
    <row r="56" spans="1:100" x14ac:dyDescent="0.55000000000000004">
      <c r="A56" s="204" t="s">
        <v>434</v>
      </c>
      <c r="B56" s="12">
        <f>IF(AND(Vout3&lt;&gt;0,Iout3&lt;&gt;0,Ns3_FlyBB&lt;&gt;0),ABS(Vout3)+((Ns3_FlyBB/Np)*VinMax),0)</f>
        <v>0</v>
      </c>
      <c r="C56" s="12"/>
    </row>
    <row r="57" spans="1:100" x14ac:dyDescent="0.55000000000000004">
      <c r="A57" s="204" t="s">
        <v>435</v>
      </c>
      <c r="B57" s="12">
        <f>IF(AND(Vout4&lt;&gt;0,Iout4&lt;&gt;0,Ns4_FlyBB&lt;&gt;0),ABS(Vout4)+((Ns4_FlyBB/Np)*VinMax),0)</f>
        <v>0</v>
      </c>
      <c r="C57" s="12"/>
    </row>
    <row r="58" spans="1:100" x14ac:dyDescent="0.55000000000000004">
      <c r="A58" s="204" t="s">
        <v>436</v>
      </c>
      <c r="B58" s="12">
        <f>IF(AND(Vout5&lt;&gt;0,Iout5&lt;&gt;0,Ns5_FlyBB&lt;&gt;0),ABS(Vout5)+((Ns5_FlyBB/Np)*VinMax),0)</f>
        <v>0</v>
      </c>
      <c r="C58" s="12"/>
    </row>
    <row r="59" spans="1:100" x14ac:dyDescent="0.55000000000000004">
      <c r="A59" s="204" t="s">
        <v>437</v>
      </c>
      <c r="B59" s="12">
        <f>IF(AND(Vout6&lt;&gt;0,Iout6&lt;&gt;0,Ns6_FlyBB&lt;&gt;0),ABS(Vout6)+((Ns6_FlyBB/Np)*VinMax),0)</f>
        <v>0</v>
      </c>
      <c r="C59" s="12"/>
    </row>
    <row r="60" spans="1:100" x14ac:dyDescent="0.55000000000000004">
      <c r="A60" s="204" t="s">
        <v>439</v>
      </c>
      <c r="B60" s="12">
        <f>VinMax</f>
        <v>60</v>
      </c>
      <c r="C60" s="12"/>
    </row>
    <row r="61" spans="1:100" x14ac:dyDescent="0.55000000000000004">
      <c r="A61" s="524" t="s">
        <v>460</v>
      </c>
      <c r="B61" s="524"/>
      <c r="C61" s="524"/>
    </row>
    <row r="62" spans="1:100" x14ac:dyDescent="0.55000000000000004">
      <c r="A62" s="214" t="s">
        <v>518</v>
      </c>
      <c r="B62" s="12">
        <f>IF('Fly-Buck-Boost'!B38="LM5017",1,IF('Fly-Buck-Boost'!B38="LM5018",2,IF('Fly-Buck-Boost'!B38="LM5019",3,IF('Fly-Buck-Boost'!B38="LM5160",4,4))))</f>
        <v>4</v>
      </c>
      <c r="C62" s="12"/>
    </row>
    <row r="63" spans="1:100" x14ac:dyDescent="0.55000000000000004">
      <c r="A63" s="214" t="s">
        <v>518</v>
      </c>
      <c r="B63" s="12" t="str">
        <f>VLOOKUP(B62,Parts!A4:BE11,2,FALSE)</f>
        <v>LM5160</v>
      </c>
      <c r="C63" s="12"/>
    </row>
    <row r="64" spans="1:100" x14ac:dyDescent="0.55000000000000004">
      <c r="A64" s="214" t="s">
        <v>0</v>
      </c>
      <c r="B64" s="12">
        <f>VLOOKUP(B62,Parts!A3:BE10,4,FALSE)</f>
        <v>4.5</v>
      </c>
      <c r="C64" s="12"/>
    </row>
    <row r="65" spans="1:3" x14ac:dyDescent="0.55000000000000004">
      <c r="A65" s="214" t="s">
        <v>2</v>
      </c>
      <c r="B65" s="12">
        <f>VLOOKUP(B62,Parts!A3:BE10,7,FALSE)</f>
        <v>50</v>
      </c>
      <c r="C65" s="12"/>
    </row>
    <row r="66" spans="1:3" x14ac:dyDescent="0.55000000000000004">
      <c r="A66" s="214" t="s">
        <v>541</v>
      </c>
      <c r="B66" s="12">
        <f>VLOOKUP(B62,Parts!A3:BE10,12,FALSE)</f>
        <v>8.9999999999999999E-11</v>
      </c>
      <c r="C66" s="12"/>
    </row>
    <row r="67" spans="1:3" x14ac:dyDescent="0.55000000000000004">
      <c r="A67" s="214" t="s">
        <v>542</v>
      </c>
      <c r="B67" s="12">
        <f>VLOOKUP(B62,Parts!A3:BE10,8,FALSE)</f>
        <v>2</v>
      </c>
      <c r="C67" s="12"/>
    </row>
    <row r="68" spans="1:3" x14ac:dyDescent="0.55000000000000004">
      <c r="A68" s="214" t="s">
        <v>543</v>
      </c>
      <c r="B68" s="12">
        <f>VLOOKUP(B62,Parts!A3:BE10,18,FALSE)</f>
        <v>7.5</v>
      </c>
      <c r="C68" s="12"/>
    </row>
    <row r="69" spans="1:3" x14ac:dyDescent="0.55000000000000004">
      <c r="A69" s="214" t="s">
        <v>544</v>
      </c>
      <c r="B69" s="12">
        <f>VLOOKUP(B62,Parts!A3:BE10,20,FALSE)</f>
        <v>0.28999999999999998</v>
      </c>
      <c r="C69" s="12"/>
    </row>
    <row r="70" spans="1:3" x14ac:dyDescent="0.55000000000000004">
      <c r="A70" s="214" t="s">
        <v>584</v>
      </c>
      <c r="B70" s="12">
        <f>VLOOKUP(B62,Parts!A3:BE10,21,FALSE)</f>
        <v>2E-8</v>
      </c>
      <c r="C70" s="12"/>
    </row>
    <row r="71" spans="1:3" x14ac:dyDescent="0.55000000000000004">
      <c r="A71" s="214" t="s">
        <v>545</v>
      </c>
      <c r="B71" s="12">
        <f>VLOOKUP(B62,Parts!A3:BE10,22,FALSE)</f>
        <v>0.13</v>
      </c>
      <c r="C71" s="12"/>
    </row>
    <row r="72" spans="1:3" x14ac:dyDescent="0.55000000000000004">
      <c r="A72" s="214" t="s">
        <v>583</v>
      </c>
      <c r="B72" s="12">
        <f>VLOOKUP(B62,Parts!A3:BE10,23,FALSE)</f>
        <v>2E-8</v>
      </c>
      <c r="C72" s="12"/>
    </row>
    <row r="73" spans="1:3" x14ac:dyDescent="0.55000000000000004">
      <c r="A73" s="214" t="s">
        <v>566</v>
      </c>
      <c r="B73" s="12">
        <f>VLOOKUP(B62,Parts!A3:BE10,27,FALSE)</f>
        <v>1.9</v>
      </c>
      <c r="C73" s="12"/>
    </row>
    <row r="74" spans="1:3" x14ac:dyDescent="0.55000000000000004">
      <c r="A74" s="214" t="s">
        <v>898</v>
      </c>
      <c r="B74" s="12">
        <f>VLOOKUP(B62,Parts!A4:BK16,57,FALSE)</f>
        <v>16</v>
      </c>
      <c r="C74" s="12" t="s">
        <v>897</v>
      </c>
    </row>
    <row r="75" spans="1:3" x14ac:dyDescent="0.55000000000000004">
      <c r="A75" s="214" t="s">
        <v>899</v>
      </c>
      <c r="B75" s="12">
        <f>VLOOKUP(B62,Parts!A4:BK16,61,FALSE)</f>
        <v>4.6180000000000003</v>
      </c>
      <c r="C75" s="12" t="s">
        <v>896</v>
      </c>
    </row>
    <row r="76" spans="1:3" x14ac:dyDescent="0.55000000000000004">
      <c r="A76" s="214" t="s">
        <v>914</v>
      </c>
      <c r="B76" s="12">
        <f>VLOOKUP(B62,Parts!A4:BM16,64,FALSE)</f>
        <v>2.5000000000000002E-8</v>
      </c>
      <c r="C76" s="12"/>
    </row>
    <row r="77" spans="1:3" x14ac:dyDescent="0.55000000000000004">
      <c r="A77" s="214" t="s">
        <v>915</v>
      </c>
      <c r="B77" s="12">
        <f>VLOOKUP(B62,Parts!A4:BM16,65,FALSE)</f>
        <v>2E-8</v>
      </c>
      <c r="C77" s="12"/>
    </row>
    <row r="78" spans="1:3" x14ac:dyDescent="0.55000000000000004">
      <c r="A78" s="214" t="s">
        <v>574</v>
      </c>
      <c r="B78" s="12">
        <f>'Fly-Buck-Boost'!B26/1000</f>
        <v>7.0000000000000007E-2</v>
      </c>
      <c r="C78" s="12"/>
    </row>
    <row r="79" spans="1:3" x14ac:dyDescent="0.55000000000000004">
      <c r="A79" s="214" t="s">
        <v>575</v>
      </c>
      <c r="B79" s="12">
        <f>'Fly-Buck-Boost'!G16/1000</f>
        <v>0.02</v>
      </c>
      <c r="C79" s="12"/>
    </row>
    <row r="80" spans="1:3" x14ac:dyDescent="0.55000000000000004">
      <c r="A80" s="214" t="s">
        <v>576</v>
      </c>
      <c r="B80" s="12">
        <f>'Fly-Buck-Boost'!G17/1000</f>
        <v>0.02</v>
      </c>
      <c r="C80" s="12"/>
    </row>
    <row r="81" spans="1:6" x14ac:dyDescent="0.55000000000000004">
      <c r="A81" s="214" t="s">
        <v>577</v>
      </c>
      <c r="B81" s="12">
        <f>'Fly-Buck-Boost'!G18/1000</f>
        <v>0</v>
      </c>
      <c r="C81" s="12"/>
    </row>
    <row r="82" spans="1:6" x14ac:dyDescent="0.55000000000000004">
      <c r="A82" s="214" t="s">
        <v>578</v>
      </c>
      <c r="B82" s="12">
        <f>'Fly-Buck-Boost'!G19/1000</f>
        <v>0</v>
      </c>
      <c r="C82" s="12"/>
    </row>
    <row r="83" spans="1:6" x14ac:dyDescent="0.55000000000000004">
      <c r="A83" s="214" t="s">
        <v>579</v>
      </c>
      <c r="B83" s="12">
        <f>'Fly-Buck-Boost'!G20/1000</f>
        <v>0</v>
      </c>
      <c r="C83" s="12"/>
    </row>
    <row r="84" spans="1:6" x14ac:dyDescent="0.55000000000000004">
      <c r="A84" s="214" t="s">
        <v>580</v>
      </c>
      <c r="B84" s="12">
        <f>'Fly-Buck-Boost'!G21/1000</f>
        <v>0</v>
      </c>
      <c r="C84" s="12"/>
    </row>
    <row r="88" spans="1:6" x14ac:dyDescent="0.55000000000000004">
      <c r="A88" t="s">
        <v>845</v>
      </c>
    </row>
    <row r="89" spans="1:6" ht="14.7" thickBot="1" x14ac:dyDescent="0.6"/>
    <row r="90" spans="1:6" x14ac:dyDescent="0.55000000000000004">
      <c r="A90" s="515" t="s">
        <v>514</v>
      </c>
      <c r="B90" s="516"/>
      <c r="C90" s="516"/>
      <c r="D90" s="516"/>
      <c r="E90" s="517"/>
      <c r="F90" t="s">
        <v>843</v>
      </c>
    </row>
    <row r="91" spans="1:6" x14ac:dyDescent="0.55000000000000004">
      <c r="A91" s="273"/>
      <c r="B91" s="94" t="s">
        <v>838</v>
      </c>
      <c r="C91" s="92"/>
      <c r="D91" s="92" t="s">
        <v>836</v>
      </c>
      <c r="E91" s="93" t="s">
        <v>837</v>
      </c>
    </row>
    <row r="92" spans="1:6" x14ac:dyDescent="0.55000000000000004">
      <c r="A92" s="91" t="s">
        <v>839</v>
      </c>
      <c r="B92" s="92">
        <f>eff*ABS(VoutPri_FBB)*VIN_MIN*Parts!AA7/(ABS(VoutPri_FBB)+VIN_MIN)</f>
        <v>10.6875</v>
      </c>
      <c r="C92" s="92" t="s">
        <v>86</v>
      </c>
      <c r="D92" s="92">
        <f>Pout_FBB</f>
        <v>7.5</v>
      </c>
      <c r="E92" s="93">
        <f>IF(B92&gt;D92,1,0)</f>
        <v>1</v>
      </c>
    </row>
    <row r="93" spans="1:6" x14ac:dyDescent="0.55000000000000004">
      <c r="A93" s="91" t="s">
        <v>668</v>
      </c>
      <c r="B93" s="92">
        <f>Parts!D7+VoutPri_FBB</f>
        <v>-10.5</v>
      </c>
      <c r="C93" s="92" t="s">
        <v>5</v>
      </c>
      <c r="D93" s="92">
        <f>VIN_MIN</f>
        <v>9</v>
      </c>
      <c r="E93" s="93">
        <f>IF(B93&lt;D93,1,0)</f>
        <v>1</v>
      </c>
    </row>
    <row r="94" spans="1:6" x14ac:dyDescent="0.55000000000000004">
      <c r="A94" s="91" t="s">
        <v>669</v>
      </c>
      <c r="B94" s="92">
        <f>Parts!G7</f>
        <v>50</v>
      </c>
      <c r="C94" s="92"/>
      <c r="D94" s="92">
        <f>VIN_MAX</f>
        <v>36</v>
      </c>
      <c r="E94" s="93">
        <f>IF(B94&gt;D94,1,0)</f>
        <v>1</v>
      </c>
    </row>
    <row r="95" spans="1:6" x14ac:dyDescent="0.55000000000000004">
      <c r="A95" s="91" t="s">
        <v>840</v>
      </c>
      <c r="B95" s="92">
        <f>Parts!H7</f>
        <v>2</v>
      </c>
      <c r="C95" s="92"/>
      <c r="D95" s="92">
        <f>ABS(VoutPri_FBB)</f>
        <v>15</v>
      </c>
      <c r="E95" s="93">
        <f>IF(B95&lt;D95,1,0)</f>
        <v>1</v>
      </c>
    </row>
    <row r="96" spans="1:6" x14ac:dyDescent="0.55000000000000004">
      <c r="A96" s="91" t="s">
        <v>841</v>
      </c>
      <c r="B96" s="92">
        <f>Parts!I7*1000</f>
        <v>50000</v>
      </c>
      <c r="C96" s="92"/>
      <c r="D96" s="92">
        <f>Fsw</f>
        <v>300000</v>
      </c>
      <c r="E96" s="93">
        <f>IF(B96&lt;D96,1,0)</f>
        <v>1</v>
      </c>
    </row>
    <row r="97" spans="1:6" ht="14.7" thickBot="1" x14ac:dyDescent="0.6">
      <c r="A97" s="104" t="s">
        <v>842</v>
      </c>
      <c r="B97" s="106">
        <f>Parts!J7*1000</f>
        <v>1000000</v>
      </c>
      <c r="C97" s="106"/>
      <c r="D97" s="106">
        <f>Fsw</f>
        <v>300000</v>
      </c>
      <c r="E97" s="108">
        <f>IF(B97&gt;D97,1,0)</f>
        <v>1</v>
      </c>
      <c r="F97">
        <f>PRODUCT(E92:E97)</f>
        <v>1</v>
      </c>
    </row>
    <row r="98" spans="1:6" x14ac:dyDescent="0.55000000000000004">
      <c r="A98" s="515" t="s">
        <v>108</v>
      </c>
      <c r="B98" s="516"/>
      <c r="C98" s="516"/>
      <c r="D98" s="516"/>
      <c r="E98" s="517"/>
    </row>
    <row r="99" spans="1:6" x14ac:dyDescent="0.55000000000000004">
      <c r="A99" s="273"/>
      <c r="B99" s="94" t="s">
        <v>838</v>
      </c>
      <c r="C99" s="92"/>
      <c r="D99" s="92" t="s">
        <v>836</v>
      </c>
      <c r="E99" s="93" t="s">
        <v>837</v>
      </c>
    </row>
    <row r="100" spans="1:6" x14ac:dyDescent="0.55000000000000004">
      <c r="A100" s="91" t="s">
        <v>839</v>
      </c>
      <c r="B100" s="92">
        <f>eff*ABS(VoutPri_FBB)*VIN_MIN*Parts!AA4/(ABS(VoutPri_FBB)+VIN_MIN)</f>
        <v>3.9375</v>
      </c>
      <c r="C100" s="92" t="s">
        <v>86</v>
      </c>
      <c r="D100" s="92">
        <f>Pout_FBB</f>
        <v>7.5</v>
      </c>
      <c r="E100" s="93">
        <f>IF(B100&gt;D100,1,0)</f>
        <v>0</v>
      </c>
    </row>
    <row r="101" spans="1:6" x14ac:dyDescent="0.55000000000000004">
      <c r="A101" s="91" t="s">
        <v>668</v>
      </c>
      <c r="B101" s="92">
        <f>Parts!D4+VoutPri_FBB</f>
        <v>-7.5</v>
      </c>
      <c r="C101" s="92" t="s">
        <v>5</v>
      </c>
      <c r="D101" s="92">
        <f>VIN_MIN</f>
        <v>9</v>
      </c>
      <c r="E101" s="93">
        <f>IF(B101&lt;D101,1,0)</f>
        <v>1</v>
      </c>
    </row>
    <row r="102" spans="1:6" x14ac:dyDescent="0.55000000000000004">
      <c r="A102" s="91" t="s">
        <v>669</v>
      </c>
      <c r="B102" s="92">
        <f>Parts!G4</f>
        <v>85</v>
      </c>
      <c r="C102" s="92"/>
      <c r="D102" s="92">
        <f>VIN_MAX</f>
        <v>36</v>
      </c>
      <c r="E102" s="93">
        <f>IF(B102&gt;D102,1,0)</f>
        <v>1</v>
      </c>
    </row>
    <row r="103" spans="1:6" x14ac:dyDescent="0.55000000000000004">
      <c r="A103" s="91" t="s">
        <v>840</v>
      </c>
      <c r="B103" s="92">
        <f>Parts!H4</f>
        <v>1.2250000000000001</v>
      </c>
      <c r="C103" s="92"/>
      <c r="D103" s="92">
        <f>ABS(VoutPri_FBB)</f>
        <v>15</v>
      </c>
      <c r="E103" s="93">
        <f>IF(B103&lt;D103,1,0)</f>
        <v>1</v>
      </c>
    </row>
    <row r="104" spans="1:6" x14ac:dyDescent="0.55000000000000004">
      <c r="A104" s="91" t="s">
        <v>841</v>
      </c>
      <c r="B104" s="92">
        <f>Parts!I4*1000</f>
        <v>50000</v>
      </c>
      <c r="C104" s="92"/>
      <c r="D104" s="92">
        <f>Fsw</f>
        <v>300000</v>
      </c>
      <c r="E104" s="93">
        <f>IF(B104&lt;D104,1,0)</f>
        <v>1</v>
      </c>
    </row>
    <row r="105" spans="1:6" ht="14.7" thickBot="1" x14ac:dyDescent="0.6">
      <c r="A105" s="104" t="s">
        <v>842</v>
      </c>
      <c r="B105" s="106">
        <f>Parts!J4*1000</f>
        <v>1000000</v>
      </c>
      <c r="C105" s="106"/>
      <c r="D105" s="106">
        <f>Fsw</f>
        <v>300000</v>
      </c>
      <c r="E105" s="108">
        <f>IF(B105&gt;D105,1,0)</f>
        <v>1</v>
      </c>
      <c r="F105">
        <f>PRODUCT(E100:E105)</f>
        <v>0</v>
      </c>
    </row>
    <row r="106" spans="1:6" x14ac:dyDescent="0.55000000000000004">
      <c r="A106" s="515" t="s">
        <v>109</v>
      </c>
      <c r="B106" s="516"/>
      <c r="C106" s="516"/>
      <c r="D106" s="516"/>
      <c r="E106" s="517"/>
    </row>
    <row r="107" spans="1:6" x14ac:dyDescent="0.55000000000000004">
      <c r="A107" s="273"/>
      <c r="B107" s="94" t="s">
        <v>838</v>
      </c>
      <c r="C107" s="92"/>
      <c r="D107" s="92" t="s">
        <v>836</v>
      </c>
      <c r="E107" s="93" t="s">
        <v>837</v>
      </c>
    </row>
    <row r="108" spans="1:6" x14ac:dyDescent="0.55000000000000004">
      <c r="A108" s="91" t="s">
        <v>839</v>
      </c>
      <c r="B108" s="92">
        <f>eff*ABS(VoutPri_FBB)*VIN_MIN*Parts!AA5/(ABS(VoutPri_FBB)+VIN_MIN)</f>
        <v>2.1937500000000001</v>
      </c>
      <c r="C108" s="92" t="s">
        <v>86</v>
      </c>
      <c r="D108" s="92">
        <f>Pout_FBB</f>
        <v>7.5</v>
      </c>
      <c r="E108" s="93">
        <f>IF(B108&gt;D108,1,0)</f>
        <v>0</v>
      </c>
    </row>
    <row r="109" spans="1:6" x14ac:dyDescent="0.55000000000000004">
      <c r="A109" s="91" t="s">
        <v>668</v>
      </c>
      <c r="B109" s="92">
        <f>Parts!D5+VoutPri_FBB</f>
        <v>-7.5</v>
      </c>
      <c r="C109" s="92" t="s">
        <v>5</v>
      </c>
      <c r="D109" s="92">
        <f>VIN_MIN</f>
        <v>9</v>
      </c>
      <c r="E109" s="93">
        <f>IF(B109&lt;D109,1,0)</f>
        <v>1</v>
      </c>
    </row>
    <row r="110" spans="1:6" x14ac:dyDescent="0.55000000000000004">
      <c r="A110" s="91" t="s">
        <v>669</v>
      </c>
      <c r="B110" s="92">
        <f>Parts!G5</f>
        <v>85</v>
      </c>
      <c r="C110" s="92"/>
      <c r="D110" s="92">
        <f>VIN_MAX</f>
        <v>36</v>
      </c>
      <c r="E110" s="93">
        <f>IF(B110&gt;D110,1,0)</f>
        <v>1</v>
      </c>
    </row>
    <row r="111" spans="1:6" x14ac:dyDescent="0.55000000000000004">
      <c r="A111" s="91" t="s">
        <v>840</v>
      </c>
      <c r="B111" s="92">
        <f>Parts!H5</f>
        <v>1.2250000000000001</v>
      </c>
      <c r="C111" s="92"/>
      <c r="D111" s="92">
        <f>ABS(VoutPri_FBB)</f>
        <v>15</v>
      </c>
      <c r="E111" s="93">
        <f>IF(B111&lt;D111,1,0)</f>
        <v>1</v>
      </c>
    </row>
    <row r="112" spans="1:6" x14ac:dyDescent="0.55000000000000004">
      <c r="A112" s="91" t="s">
        <v>841</v>
      </c>
      <c r="B112" s="92">
        <f>Parts!I5*1000</f>
        <v>50000</v>
      </c>
      <c r="C112" s="92"/>
      <c r="D112" s="92">
        <f>Fsw</f>
        <v>300000</v>
      </c>
      <c r="E112" s="93">
        <f>IF(B112&lt;D112,1,0)</f>
        <v>1</v>
      </c>
    </row>
    <row r="113" spans="1:9" ht="14.7" thickBot="1" x14ac:dyDescent="0.6">
      <c r="A113" s="104" t="s">
        <v>842</v>
      </c>
      <c r="B113" s="106">
        <f>Parts!J5*1000</f>
        <v>1000000</v>
      </c>
      <c r="C113" s="106"/>
      <c r="D113" s="106">
        <f>Fsw</f>
        <v>300000</v>
      </c>
      <c r="E113" s="108">
        <f>IF(B113&gt;D113,1,0)</f>
        <v>1</v>
      </c>
      <c r="F113">
        <f>PRODUCT(E108:E113)</f>
        <v>0</v>
      </c>
    </row>
    <row r="114" spans="1:9" x14ac:dyDescent="0.55000000000000004">
      <c r="A114" s="515" t="s">
        <v>110</v>
      </c>
      <c r="B114" s="516"/>
      <c r="C114" s="516"/>
      <c r="D114" s="516"/>
      <c r="E114" s="517"/>
    </row>
    <row r="115" spans="1:9" x14ac:dyDescent="0.55000000000000004">
      <c r="A115" s="273"/>
      <c r="B115" s="94" t="s">
        <v>838</v>
      </c>
      <c r="C115" s="92"/>
      <c r="D115" s="92" t="s">
        <v>836</v>
      </c>
      <c r="E115" s="93" t="s">
        <v>837</v>
      </c>
    </row>
    <row r="116" spans="1:9" x14ac:dyDescent="0.55000000000000004">
      <c r="A116" s="91" t="s">
        <v>839</v>
      </c>
      <c r="B116" s="92">
        <f>eff*ABS(VoutPri_FBB)*VIN_MIN*Parts!AA6/(ABS(VoutPri_FBB)+VIN_MIN)</f>
        <v>0.84375</v>
      </c>
      <c r="C116" s="92" t="s">
        <v>86</v>
      </c>
      <c r="D116" s="92">
        <f>Pout_FBB</f>
        <v>7.5</v>
      </c>
      <c r="E116" s="93">
        <f>IF(B116&gt;D116,1,0)</f>
        <v>0</v>
      </c>
    </row>
    <row r="117" spans="1:9" x14ac:dyDescent="0.55000000000000004">
      <c r="A117" s="91" t="s">
        <v>668</v>
      </c>
      <c r="B117" s="92">
        <f>Parts!D6+VoutPri_FBB</f>
        <v>-7.5</v>
      </c>
      <c r="C117" s="92" t="s">
        <v>5</v>
      </c>
      <c r="D117" s="92">
        <f>VIN_MIN</f>
        <v>9</v>
      </c>
      <c r="E117" s="93">
        <f>IF(B117&lt;D117,1,0)</f>
        <v>1</v>
      </c>
    </row>
    <row r="118" spans="1:9" x14ac:dyDescent="0.55000000000000004">
      <c r="A118" s="91" t="s">
        <v>669</v>
      </c>
      <c r="B118" s="92">
        <f>Parts!G6</f>
        <v>85</v>
      </c>
      <c r="C118" s="92"/>
      <c r="D118" s="92">
        <f>VIN_MAX</f>
        <v>36</v>
      </c>
      <c r="E118" s="93">
        <f>IF(B118&gt;D118,1,0)</f>
        <v>1</v>
      </c>
    </row>
    <row r="119" spans="1:9" x14ac:dyDescent="0.55000000000000004">
      <c r="A119" s="91" t="s">
        <v>840</v>
      </c>
      <c r="B119" s="92">
        <f>Parts!H6</f>
        <v>1.2250000000000001</v>
      </c>
      <c r="C119" s="92"/>
      <c r="D119" s="92">
        <f>ABS(VoutPri_FBB)</f>
        <v>15</v>
      </c>
      <c r="E119" s="93">
        <f>IF(B119&lt;D119,1,0)</f>
        <v>1</v>
      </c>
    </row>
    <row r="120" spans="1:9" ht="14.7" thickBot="1" x14ac:dyDescent="0.6">
      <c r="A120" s="91" t="s">
        <v>841</v>
      </c>
      <c r="B120" s="92">
        <f>Parts!I6*1000</f>
        <v>50000</v>
      </c>
      <c r="C120" s="92"/>
      <c r="D120" s="92">
        <f>Fsw</f>
        <v>300000</v>
      </c>
      <c r="E120" s="93">
        <f>IF(B120&lt;D120,1,0)</f>
        <v>1</v>
      </c>
    </row>
    <row r="121" spans="1:9" ht="14.7" thickBot="1" x14ac:dyDescent="0.6">
      <c r="A121" s="104" t="s">
        <v>842</v>
      </c>
      <c r="B121" s="106">
        <f>Parts!J6*1000</f>
        <v>1000000</v>
      </c>
      <c r="C121" s="106"/>
      <c r="D121" s="106">
        <f>Fsw</f>
        <v>300000</v>
      </c>
      <c r="E121" s="108">
        <f>IF(B121&gt;D121,1,0)</f>
        <v>1</v>
      </c>
      <c r="F121">
        <f>PRODUCT(E116:E121)</f>
        <v>0</v>
      </c>
      <c r="G121" s="518" t="s">
        <v>844</v>
      </c>
      <c r="H121" s="519"/>
      <c r="I121" s="249">
        <f>IF(SUM(F97,F105,F113,F121)&gt;=1,1,0)</f>
        <v>1</v>
      </c>
    </row>
  </sheetData>
  <mergeCells count="15">
    <mergeCell ref="A61:C61"/>
    <mergeCell ref="CF2:CK2"/>
    <mergeCell ref="CL2:CR2"/>
    <mergeCell ref="A4:C4"/>
    <mergeCell ref="A53:C53"/>
    <mergeCell ref="A6:B6"/>
    <mergeCell ref="A38:C38"/>
    <mergeCell ref="A29:C29"/>
    <mergeCell ref="A24:C24"/>
    <mergeCell ref="A11:C11"/>
    <mergeCell ref="A90:E90"/>
    <mergeCell ref="A98:E98"/>
    <mergeCell ref="A106:E106"/>
    <mergeCell ref="A114:E114"/>
    <mergeCell ref="G121:H121"/>
  </mergeCells>
  <conditionalFormatting sqref="AV4:BD54">
    <cfRule type="expression" dxfId="6" priority="1">
      <formula>MOD(ROW(),2)=1</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447</vt:i4>
      </vt:variant>
    </vt:vector>
  </HeadingPairs>
  <TitlesOfParts>
    <vt:vector size="466" baseType="lpstr">
      <vt:lpstr>Front Page</vt:lpstr>
      <vt:lpstr>Designs</vt:lpstr>
      <vt:lpstr>Fly-Buck</vt:lpstr>
      <vt:lpstr>Fly-Buck_Calc</vt:lpstr>
      <vt:lpstr>Fly-Buck-Boost</vt:lpstr>
      <vt:lpstr>Flyback CCM</vt:lpstr>
      <vt:lpstr>Flyback_CCM_Calc</vt:lpstr>
      <vt:lpstr>Flyback DCM</vt:lpstr>
      <vt:lpstr>Fly-BB_Calc</vt:lpstr>
      <vt:lpstr>Flyback_DCM_Calc</vt:lpstr>
      <vt:lpstr>Transformer</vt:lpstr>
      <vt:lpstr>Trans_Core</vt:lpstr>
      <vt:lpstr>Parts</vt:lpstr>
      <vt:lpstr>FlybacK CCM vs DCM</vt:lpstr>
      <vt:lpstr>Fly-Buck vs Fly-Buck-Boost</vt:lpstr>
      <vt:lpstr>Fly-Buck v Flyback</vt:lpstr>
      <vt:lpstr>Constants</vt:lpstr>
      <vt:lpstr>Rev Tracking</vt:lpstr>
      <vt:lpstr>Fly-Buck_Max</vt:lpstr>
      <vt:lpstr>a1_FB</vt:lpstr>
      <vt:lpstr>a1_FBB</vt:lpstr>
      <vt:lpstr>a1_FlyB_CCM</vt:lpstr>
      <vt:lpstr>a1_FlyB_DCM</vt:lpstr>
      <vt:lpstr>a2_FB</vt:lpstr>
      <vt:lpstr>a2_FBB</vt:lpstr>
      <vt:lpstr>a2_FlyB_CCM</vt:lpstr>
      <vt:lpstr>a2_FlyB_DCM</vt:lpstr>
      <vt:lpstr>a3_FB</vt:lpstr>
      <vt:lpstr>a3_FBB</vt:lpstr>
      <vt:lpstr>a3_FlyB_CCM</vt:lpstr>
      <vt:lpstr>a3_FlyB_DCM</vt:lpstr>
      <vt:lpstr>a4_FB</vt:lpstr>
      <vt:lpstr>a4_FBB</vt:lpstr>
      <vt:lpstr>a4_FlyB_CCM</vt:lpstr>
      <vt:lpstr>a4_FlyB_DCM</vt:lpstr>
      <vt:lpstr>a5_FB</vt:lpstr>
      <vt:lpstr>a5_FBB</vt:lpstr>
      <vt:lpstr>a5_FlyB_CCM</vt:lpstr>
      <vt:lpstr>a5_FlyB_DCM</vt:lpstr>
      <vt:lpstr>a6_FB</vt:lpstr>
      <vt:lpstr>a6_FBB</vt:lpstr>
      <vt:lpstr>a6_FlyB_CCM</vt:lpstr>
      <vt:lpstr>a6_FlyB_DCM</vt:lpstr>
      <vt:lpstr>aAUX_FlyB_CCM</vt:lpstr>
      <vt:lpstr>aAUX_FlyB_DCM</vt:lpstr>
      <vt:lpstr>Ae_FB</vt:lpstr>
      <vt:lpstr>Ae_FBB</vt:lpstr>
      <vt:lpstr>Ae_Flyback_CCM</vt:lpstr>
      <vt:lpstr>Ae_Flyback_DCM</vt:lpstr>
      <vt:lpstr>aPri_FB</vt:lpstr>
      <vt:lpstr>aPri_FBB</vt:lpstr>
      <vt:lpstr>aPri_FlyB_CCM</vt:lpstr>
      <vt:lpstr>aPri_FlyB_DCM</vt:lpstr>
      <vt:lpstr>Aw1_FB</vt:lpstr>
      <vt:lpstr>Aw1_FBB</vt:lpstr>
      <vt:lpstr>Aw1_FlyB_CCM</vt:lpstr>
      <vt:lpstr>Aw1_FlyB_DCM</vt:lpstr>
      <vt:lpstr>Aw2_FB</vt:lpstr>
      <vt:lpstr>Aw2_FBB</vt:lpstr>
      <vt:lpstr>Aw2_FlyB_CCM</vt:lpstr>
      <vt:lpstr>Aw2_FlyB_DCM</vt:lpstr>
      <vt:lpstr>Aw3_FB</vt:lpstr>
      <vt:lpstr>Aw3_FBB</vt:lpstr>
      <vt:lpstr>Aw3_FlyB_CCM</vt:lpstr>
      <vt:lpstr>Aw3_FlyB_DCM</vt:lpstr>
      <vt:lpstr>Aw4_FB</vt:lpstr>
      <vt:lpstr>Aw4_FBB</vt:lpstr>
      <vt:lpstr>Aw4_FlyB_CCM</vt:lpstr>
      <vt:lpstr>Aw4_FlyB_DCM</vt:lpstr>
      <vt:lpstr>Aw5_FB</vt:lpstr>
      <vt:lpstr>Aw5_FBB</vt:lpstr>
      <vt:lpstr>Aw5_FlyB_CCM</vt:lpstr>
      <vt:lpstr>Aw5_FlyB_DCM</vt:lpstr>
      <vt:lpstr>Aw6_FB</vt:lpstr>
      <vt:lpstr>Aw6_FBB</vt:lpstr>
      <vt:lpstr>Aw6_FlyB_CCM</vt:lpstr>
      <vt:lpstr>Aw6_FlyB_DCM</vt:lpstr>
      <vt:lpstr>AwAUX_FlyB_CCM</vt:lpstr>
      <vt:lpstr>AwAUX_FlyB_DCM</vt:lpstr>
      <vt:lpstr>AWG_FB</vt:lpstr>
      <vt:lpstr>AWG_FBB</vt:lpstr>
      <vt:lpstr>AWG_Flyback_CCM</vt:lpstr>
      <vt:lpstr>AWG_Flyback_DCM</vt:lpstr>
      <vt:lpstr>AWG1_FB</vt:lpstr>
      <vt:lpstr>AWG1_FBB</vt:lpstr>
      <vt:lpstr>AWG1_Flyback_CCM</vt:lpstr>
      <vt:lpstr>AWG1_Flyback_DCM</vt:lpstr>
      <vt:lpstr>AWG2_FB</vt:lpstr>
      <vt:lpstr>AWG2_FBB</vt:lpstr>
      <vt:lpstr>AWG2_Flyback_CCM</vt:lpstr>
      <vt:lpstr>AWG2_Flyback_DCM</vt:lpstr>
      <vt:lpstr>AWG3_FB</vt:lpstr>
      <vt:lpstr>AWG3_FBB</vt:lpstr>
      <vt:lpstr>AWG3_Flyback_CCM</vt:lpstr>
      <vt:lpstr>AWG3_Flyback_DCM</vt:lpstr>
      <vt:lpstr>AWG4_FB</vt:lpstr>
      <vt:lpstr>AWG4_FBB</vt:lpstr>
      <vt:lpstr>AWG4_Flyback_CCM</vt:lpstr>
      <vt:lpstr>AWG4_Flyback_DCM</vt:lpstr>
      <vt:lpstr>AWG5_FB</vt:lpstr>
      <vt:lpstr>AWG5_FBB</vt:lpstr>
      <vt:lpstr>AWG5_Flyback_CCM</vt:lpstr>
      <vt:lpstr>AWG5_Flyback_DCM</vt:lpstr>
      <vt:lpstr>AWG6_FB</vt:lpstr>
      <vt:lpstr>AWG6_FBB</vt:lpstr>
      <vt:lpstr>AWG6_Flyback_CCM</vt:lpstr>
      <vt:lpstr>AWG6_Flyback_DCM</vt:lpstr>
      <vt:lpstr>AWGAUX_Flyback_CCM</vt:lpstr>
      <vt:lpstr>AWGAUX_Flyback_DCM</vt:lpstr>
      <vt:lpstr>AwPri_FB</vt:lpstr>
      <vt:lpstr>AwPri_FBB</vt:lpstr>
      <vt:lpstr>AwPri_FlyB_CCM</vt:lpstr>
      <vt:lpstr>AwPri_FlyB_DCM</vt:lpstr>
      <vt:lpstr>Bmax_FB</vt:lpstr>
      <vt:lpstr>Bmax_FBB</vt:lpstr>
      <vt:lpstr>Bmax_Flyback</vt:lpstr>
      <vt:lpstr>Bmax_Flyback_DCM</vt:lpstr>
      <vt:lpstr>Bsat_3F35</vt:lpstr>
      <vt:lpstr>CM_3C92</vt:lpstr>
      <vt:lpstr>CM_3C96</vt:lpstr>
      <vt:lpstr>CM_3F35</vt:lpstr>
      <vt:lpstr>CM_3F36</vt:lpstr>
      <vt:lpstr>Ct_3C92</vt:lpstr>
      <vt:lpstr>Ct_3C96</vt:lpstr>
      <vt:lpstr>Ct_3F35</vt:lpstr>
      <vt:lpstr>Ct_3F36</vt:lpstr>
      <vt:lpstr>Ct1_3C92</vt:lpstr>
      <vt:lpstr>Ct1_3C96</vt:lpstr>
      <vt:lpstr>Ct1_3F35</vt:lpstr>
      <vt:lpstr>Ct1_3F36</vt:lpstr>
      <vt:lpstr>Ct2_3C92</vt:lpstr>
      <vt:lpstr>Ct2_3C96</vt:lpstr>
      <vt:lpstr>Ct2_3F35</vt:lpstr>
      <vt:lpstr>Ct2_3F36</vt:lpstr>
      <vt:lpstr>D_spec</vt:lpstr>
      <vt:lpstr>DC_Step</vt:lpstr>
      <vt:lpstr>dSkin</vt:lpstr>
      <vt:lpstr>'Fly-Buck_Max'!Eff</vt:lpstr>
      <vt:lpstr>eff</vt:lpstr>
      <vt:lpstr>Fly_Buck_Boost_Parts</vt:lpstr>
      <vt:lpstr>Fly_Buck_Parts</vt:lpstr>
      <vt:lpstr>Flyback_Parts</vt:lpstr>
      <vt:lpstr>Flyback_Qrr</vt:lpstr>
      <vt:lpstr>Freq_Selector</vt:lpstr>
      <vt:lpstr>Fsw_Input</vt:lpstr>
      <vt:lpstr>ILavg_FlyB</vt:lpstr>
      <vt:lpstr>ILpeak_Max_FB</vt:lpstr>
      <vt:lpstr>ILpeak_Max_FBB</vt:lpstr>
      <vt:lpstr>ILpeak_Max_FlyB_CCM</vt:lpstr>
      <vt:lpstr>ILpeak_Max_FlyB_DCM</vt:lpstr>
      <vt:lpstr>ILripple_Max_FB</vt:lpstr>
      <vt:lpstr>ILripple_Max_FBB</vt:lpstr>
      <vt:lpstr>ILripple_Max_FlyB_CCM</vt:lpstr>
      <vt:lpstr>ILripple_Max_FlyB_DCM</vt:lpstr>
      <vt:lpstr>ILrms_Ipri_FB</vt:lpstr>
      <vt:lpstr>ILrms_Ipri_FBB</vt:lpstr>
      <vt:lpstr>ILrms_Ipri_FlyB_CCM</vt:lpstr>
      <vt:lpstr>ILrms_Ipri_FlyB_DCM</vt:lpstr>
      <vt:lpstr>ILrms_IVAUX_FlyB_CCM</vt:lpstr>
      <vt:lpstr>ILrms_IVAUX_FlyB_DCM</vt:lpstr>
      <vt:lpstr>ILrms_IVOUT1_FlyB_CCM</vt:lpstr>
      <vt:lpstr>ILrms_IVOUT1_FlyB_DCM</vt:lpstr>
      <vt:lpstr>ILrms_IVOUT2_FlyB_CCM</vt:lpstr>
      <vt:lpstr>ILrms_IVOUT2_FlyB_DCM</vt:lpstr>
      <vt:lpstr>ILrms_IVOUT3_FlyB_CCM</vt:lpstr>
      <vt:lpstr>ILrms_IVOUT3_FlyB_DCM</vt:lpstr>
      <vt:lpstr>ILrms_IVOUT4_FlyB_CCM</vt:lpstr>
      <vt:lpstr>ILrms_IVOUT4_FlyB_DCM</vt:lpstr>
      <vt:lpstr>ILrms_IVOUT5_FlyB_CCM</vt:lpstr>
      <vt:lpstr>ILrms_IVOUT5_FlyB_DCM</vt:lpstr>
      <vt:lpstr>ILrms_IVOUT6_FlyB_CCM</vt:lpstr>
      <vt:lpstr>ILrms_IVOUT6_FlyB_DCM</vt:lpstr>
      <vt:lpstr>ILrms_Max_FB</vt:lpstr>
      <vt:lpstr>ILrms_Max_FBB</vt:lpstr>
      <vt:lpstr>ILrms_Max_FlyB_CCM</vt:lpstr>
      <vt:lpstr>ILrms_Max_FlyB_DCM</vt:lpstr>
      <vt:lpstr>ILrms_Total_Max_FB</vt:lpstr>
      <vt:lpstr>ILrms_Total_Max_FB_CCM</vt:lpstr>
      <vt:lpstr>ILrms_Total_Max_FB_DCM</vt:lpstr>
      <vt:lpstr>ILrms_Total_Max_FBB</vt:lpstr>
      <vt:lpstr>ILrms_VOUT1_FB</vt:lpstr>
      <vt:lpstr>ILrms_VOUT1_FBB</vt:lpstr>
      <vt:lpstr>ILrms_VOUT2_FB</vt:lpstr>
      <vt:lpstr>ILrms_VOUT2_FBB</vt:lpstr>
      <vt:lpstr>ILrms_VOUT3_FB</vt:lpstr>
      <vt:lpstr>ILrms_VOUT3_FBB</vt:lpstr>
      <vt:lpstr>ILrms_VOUT4_FB</vt:lpstr>
      <vt:lpstr>ILrms_VOUT4_FBB</vt:lpstr>
      <vt:lpstr>ILrms_VOUT5_FB</vt:lpstr>
      <vt:lpstr>ILrms_VOUT5_FBB</vt:lpstr>
      <vt:lpstr>ILrms_VOUT6_FB</vt:lpstr>
      <vt:lpstr>ILrms_VOUT6_FBB</vt:lpstr>
      <vt:lpstr>Iout1</vt:lpstr>
      <vt:lpstr>Iout2</vt:lpstr>
      <vt:lpstr>Iout3</vt:lpstr>
      <vt:lpstr>Iout4</vt:lpstr>
      <vt:lpstr>Iout5</vt:lpstr>
      <vt:lpstr>Iout6</vt:lpstr>
      <vt:lpstr>IoutAux</vt:lpstr>
      <vt:lpstr>IoutPri_FB</vt:lpstr>
      <vt:lpstr>IoutPri_FBB</vt:lpstr>
      <vt:lpstr>Kg_FB</vt:lpstr>
      <vt:lpstr>Kg_FBB</vt:lpstr>
      <vt:lpstr>Kg_Flyback</vt:lpstr>
      <vt:lpstr>Kg_Flyback_DCM</vt:lpstr>
      <vt:lpstr>Ku_FB</vt:lpstr>
      <vt:lpstr>Ku_FBB</vt:lpstr>
      <vt:lpstr>Ku_FlyBack</vt:lpstr>
      <vt:lpstr>Ku_FlyBack_DCM</vt:lpstr>
      <vt:lpstr>Lcalc_FB_VinMax</vt:lpstr>
      <vt:lpstr>Lcalc_FB_VinMin</vt:lpstr>
      <vt:lpstr>Lcalc_FB_VinNom</vt:lpstr>
      <vt:lpstr>Lcalc_FBB_VinMax</vt:lpstr>
      <vt:lpstr>Lcalc_FBB_VinMin</vt:lpstr>
      <vt:lpstr>Lcalc_FBB_VinNom</vt:lpstr>
      <vt:lpstr>Lcalc_Flyback_crit</vt:lpstr>
      <vt:lpstr>Lcalc_Flyback_VinMax</vt:lpstr>
      <vt:lpstr>Lcalc_Flyback_VinMin</vt:lpstr>
      <vt:lpstr>Lcalc_Flyback_VinNom</vt:lpstr>
      <vt:lpstr>Le_FB</vt:lpstr>
      <vt:lpstr>Le_FBB</vt:lpstr>
      <vt:lpstr>Le_Flyback_CCM</vt:lpstr>
      <vt:lpstr>Le_Flyback_DCM</vt:lpstr>
      <vt:lpstr>Lm_FlyB_Input</vt:lpstr>
      <vt:lpstr>Lm_Flyback_CCM_Input</vt:lpstr>
      <vt:lpstr>Lm_Flyback_DCM_Input</vt:lpstr>
      <vt:lpstr>Lm_FlyBB_Input</vt:lpstr>
      <vt:lpstr>MLT_FB</vt:lpstr>
      <vt:lpstr>MLT_FBB</vt:lpstr>
      <vt:lpstr>MLT_Flyback_CCM</vt:lpstr>
      <vt:lpstr>MLT_Flyback_DCM</vt:lpstr>
      <vt:lpstr>n1_FlyB</vt:lpstr>
      <vt:lpstr>n1_FlyB_Calc</vt:lpstr>
      <vt:lpstr>n1_Flyback</vt:lpstr>
      <vt:lpstr>n1_Flyback_Calc</vt:lpstr>
      <vt:lpstr>n1_FlyBB</vt:lpstr>
      <vt:lpstr>n1_FlyBB_Calc</vt:lpstr>
      <vt:lpstr>n2_FlyB</vt:lpstr>
      <vt:lpstr>n2_FlyB_Calc</vt:lpstr>
      <vt:lpstr>n2_Flyback</vt:lpstr>
      <vt:lpstr>n2_Flyback_Calc</vt:lpstr>
      <vt:lpstr>n2_FlyBB</vt:lpstr>
      <vt:lpstr>n2_FlyBB_Calc</vt:lpstr>
      <vt:lpstr>n3_FlyB</vt:lpstr>
      <vt:lpstr>n3_FlyB_Calc</vt:lpstr>
      <vt:lpstr>n3_Flyback</vt:lpstr>
      <vt:lpstr>n3_Flyback_Calc</vt:lpstr>
      <vt:lpstr>n3_FlyBB</vt:lpstr>
      <vt:lpstr>n3_FlyBB_Calc</vt:lpstr>
      <vt:lpstr>n4_FlyB</vt:lpstr>
      <vt:lpstr>n4_FlyB_Calc</vt:lpstr>
      <vt:lpstr>n4_Flyback</vt:lpstr>
      <vt:lpstr>n4_Flyback_Calc</vt:lpstr>
      <vt:lpstr>n4_FlyBB</vt:lpstr>
      <vt:lpstr>n4_FlyBB_Calc</vt:lpstr>
      <vt:lpstr>n5_FlyB</vt:lpstr>
      <vt:lpstr>n5_FlyB_Calc</vt:lpstr>
      <vt:lpstr>n5_Flyback</vt:lpstr>
      <vt:lpstr>n5_Flyback_Calc</vt:lpstr>
      <vt:lpstr>n5_FlyBB</vt:lpstr>
      <vt:lpstr>n5_FlyBB_Calc</vt:lpstr>
      <vt:lpstr>n6_FlyB</vt:lpstr>
      <vt:lpstr>n6_FlyB_Calc</vt:lpstr>
      <vt:lpstr>n6_Flyback</vt:lpstr>
      <vt:lpstr>n6_Flyback_Calc</vt:lpstr>
      <vt:lpstr>n6_FlyBB</vt:lpstr>
      <vt:lpstr>n6_FlyBB_Calc</vt:lpstr>
      <vt:lpstr>nAux_Flyback</vt:lpstr>
      <vt:lpstr>nAUX_Flyback_Calc</vt:lpstr>
      <vt:lpstr>Np</vt:lpstr>
      <vt:lpstr>Np_T_FB</vt:lpstr>
      <vt:lpstr>Np_T_FBB</vt:lpstr>
      <vt:lpstr>Np_T_Flyback_CCM</vt:lpstr>
      <vt:lpstr>Np_T_Flyback_DCM</vt:lpstr>
      <vt:lpstr>Ns1_FBack_Calc</vt:lpstr>
      <vt:lpstr>Ns1_FlyB</vt:lpstr>
      <vt:lpstr>Ns1_FlyB_Calc</vt:lpstr>
      <vt:lpstr>Ns1_Flyback</vt:lpstr>
      <vt:lpstr>Ns1_FlyBB</vt:lpstr>
      <vt:lpstr>Ns1_FlyBB_Calc</vt:lpstr>
      <vt:lpstr>Ns2_FBack_Calc</vt:lpstr>
      <vt:lpstr>Ns2_FlyB</vt:lpstr>
      <vt:lpstr>Ns2_FlyB_Calc</vt:lpstr>
      <vt:lpstr>Ns2_Flyback</vt:lpstr>
      <vt:lpstr>Ns2_FlyBB</vt:lpstr>
      <vt:lpstr>Ns2_FlyBB_Calc</vt:lpstr>
      <vt:lpstr>Ns3_FBack_Calc</vt:lpstr>
      <vt:lpstr>Ns3_FlyB</vt:lpstr>
      <vt:lpstr>Ns3_FlyB_Calc</vt:lpstr>
      <vt:lpstr>Ns3_Flyback</vt:lpstr>
      <vt:lpstr>Ns3_FlyBB</vt:lpstr>
      <vt:lpstr>Ns3_FlyBB_Calc</vt:lpstr>
      <vt:lpstr>Ns4_FBack_Calc</vt:lpstr>
      <vt:lpstr>Ns4_FlyB</vt:lpstr>
      <vt:lpstr>Ns4_FlyB_Calc</vt:lpstr>
      <vt:lpstr>Ns4_Flyback</vt:lpstr>
      <vt:lpstr>Ns4_FlyBB</vt:lpstr>
      <vt:lpstr>Ns4_FlyBB_Calc</vt:lpstr>
      <vt:lpstr>Ns5_FBack_Calc</vt:lpstr>
      <vt:lpstr>Ns5_FlyB</vt:lpstr>
      <vt:lpstr>Ns5_FlyB_Calc</vt:lpstr>
      <vt:lpstr>Ns5_Flyback</vt:lpstr>
      <vt:lpstr>Ns5_FlyBB</vt:lpstr>
      <vt:lpstr>Ns5_FlyBB_Calc</vt:lpstr>
      <vt:lpstr>Ns6_FBack_Calc</vt:lpstr>
      <vt:lpstr>Ns6_FlyB</vt:lpstr>
      <vt:lpstr>Ns6_FlyB_Calc</vt:lpstr>
      <vt:lpstr>Ns6_Flyback</vt:lpstr>
      <vt:lpstr>Ns6_FlyBB</vt:lpstr>
      <vt:lpstr>Ns6_FlyBB_Calc</vt:lpstr>
      <vt:lpstr>NsAux_FBack_Calc</vt:lpstr>
      <vt:lpstr>NsAux_Flyback</vt:lpstr>
      <vt:lpstr>NVAUX_T_Flyback_CCM</vt:lpstr>
      <vt:lpstr>NVAUX_T_Flyback_DCM</vt:lpstr>
      <vt:lpstr>NVout1_T_FB</vt:lpstr>
      <vt:lpstr>NVout1_T_FBB</vt:lpstr>
      <vt:lpstr>NVout1_T_Flyback_CCM</vt:lpstr>
      <vt:lpstr>NVout1_T_Flyback_DCM</vt:lpstr>
      <vt:lpstr>NVout2_T_FB</vt:lpstr>
      <vt:lpstr>NVout2_T_FBB</vt:lpstr>
      <vt:lpstr>NVout2_T_Flyback_CCM</vt:lpstr>
      <vt:lpstr>NVout2_T_Flyback_DCM</vt:lpstr>
      <vt:lpstr>NVout3_T_FB</vt:lpstr>
      <vt:lpstr>NVout3_T_FBB</vt:lpstr>
      <vt:lpstr>NVout3_T_Flyback_CCM</vt:lpstr>
      <vt:lpstr>NVout3_T_Flyback_DCM</vt:lpstr>
      <vt:lpstr>NVout4_T_FB</vt:lpstr>
      <vt:lpstr>NVout4_T_FBB</vt:lpstr>
      <vt:lpstr>NVout4_T_Flyback_CCM</vt:lpstr>
      <vt:lpstr>NVout4_T_Flyback_DCM</vt:lpstr>
      <vt:lpstr>NVout5_T_FB</vt:lpstr>
      <vt:lpstr>NVout5_T_FBB</vt:lpstr>
      <vt:lpstr>NVout5_T_Flyback_CCM</vt:lpstr>
      <vt:lpstr>NVout5_T_Flyback_DCM</vt:lpstr>
      <vt:lpstr>NVout6_T_FB</vt:lpstr>
      <vt:lpstr>NVout6_T_FBB</vt:lpstr>
      <vt:lpstr>NVout6_T_Flyback_CCM</vt:lpstr>
      <vt:lpstr>NVout6_T_Flyback_DCM</vt:lpstr>
      <vt:lpstr>pcu</vt:lpstr>
      <vt:lpstr>pcu_100C</vt:lpstr>
      <vt:lpstr>Pcu_Loss_FB</vt:lpstr>
      <vt:lpstr>Pcu_Loss_FBB</vt:lpstr>
      <vt:lpstr>Pcu_Loss_Flyback_CCM</vt:lpstr>
      <vt:lpstr>Pcu_Loss_Flyback_DCM</vt:lpstr>
      <vt:lpstr>PermAir</vt:lpstr>
      <vt:lpstr>Pout_FB</vt:lpstr>
      <vt:lpstr>Pout_FBB</vt:lpstr>
      <vt:lpstr>Pout_Flyback</vt:lpstr>
      <vt:lpstr>Pout_Step</vt:lpstr>
      <vt:lpstr>Rac1_FB</vt:lpstr>
      <vt:lpstr>Rac1_FBB</vt:lpstr>
      <vt:lpstr>Rac1_Flyback_CCM</vt:lpstr>
      <vt:lpstr>Rac1_Flyback_DCM</vt:lpstr>
      <vt:lpstr>Rac2_FB</vt:lpstr>
      <vt:lpstr>Rac2_FBB</vt:lpstr>
      <vt:lpstr>Rac2_Flyback_CCM</vt:lpstr>
      <vt:lpstr>Rac2_Flyback_DCM</vt:lpstr>
      <vt:lpstr>Rac3_FB</vt:lpstr>
      <vt:lpstr>Rac3_FBB</vt:lpstr>
      <vt:lpstr>Rac3_Flyback_CCM</vt:lpstr>
      <vt:lpstr>Rac3_Flyback_DCM</vt:lpstr>
      <vt:lpstr>Rac4_FB</vt:lpstr>
      <vt:lpstr>Rac4_FBB</vt:lpstr>
      <vt:lpstr>Rac4_Flyback_CCM</vt:lpstr>
      <vt:lpstr>Rac4_Flyback_DCM</vt:lpstr>
      <vt:lpstr>Rac5_FB</vt:lpstr>
      <vt:lpstr>Rac5_FBB</vt:lpstr>
      <vt:lpstr>Rac5_Flyback_CCM</vt:lpstr>
      <vt:lpstr>Rac5_Flyback_DCM</vt:lpstr>
      <vt:lpstr>Rac6_FB</vt:lpstr>
      <vt:lpstr>Rac6_FBB</vt:lpstr>
      <vt:lpstr>Rac6_Flyback_CCM</vt:lpstr>
      <vt:lpstr>Rac6_Flyback_DCM</vt:lpstr>
      <vt:lpstr>RacAUX_Flyback_CCM</vt:lpstr>
      <vt:lpstr>RacAUX_Flyback_DCM</vt:lpstr>
      <vt:lpstr>RacPri_FB</vt:lpstr>
      <vt:lpstr>RacPri_FBB</vt:lpstr>
      <vt:lpstr>RacPri_Flyback_CCM</vt:lpstr>
      <vt:lpstr>RacPri_Flyback_DCM</vt:lpstr>
      <vt:lpstr>Rdc1_FB</vt:lpstr>
      <vt:lpstr>Rdc1_FBB</vt:lpstr>
      <vt:lpstr>Rdc1_Flyback_CCM</vt:lpstr>
      <vt:lpstr>Rdc1_Flyback_DCM</vt:lpstr>
      <vt:lpstr>Rdc2_FB</vt:lpstr>
      <vt:lpstr>Rdc2_FBB</vt:lpstr>
      <vt:lpstr>Rdc2_Flyback_CCM</vt:lpstr>
      <vt:lpstr>Rdc2_Flyback_DCM</vt:lpstr>
      <vt:lpstr>Rdc3_FB</vt:lpstr>
      <vt:lpstr>Rdc3_FBB</vt:lpstr>
      <vt:lpstr>Rdc3_Flyback_CCM</vt:lpstr>
      <vt:lpstr>Rdc3_Flyback_DCM</vt:lpstr>
      <vt:lpstr>Rdc4_FB</vt:lpstr>
      <vt:lpstr>Rdc4_FBB</vt:lpstr>
      <vt:lpstr>Rdc4_Flyback_CCM</vt:lpstr>
      <vt:lpstr>Rdc4_Flyback_DCM</vt:lpstr>
      <vt:lpstr>Rdc5_FB</vt:lpstr>
      <vt:lpstr>Rdc5_FBB</vt:lpstr>
      <vt:lpstr>Rdc5_Flyback_CCM</vt:lpstr>
      <vt:lpstr>Rdc5_Flyback_DCM</vt:lpstr>
      <vt:lpstr>Rdc6_FB</vt:lpstr>
      <vt:lpstr>Rdc6_FBB</vt:lpstr>
      <vt:lpstr>Rdc6_Flyback_CCM</vt:lpstr>
      <vt:lpstr>Rdc6_Flyback_DCM</vt:lpstr>
      <vt:lpstr>RdcAUX_Flyback_CCM</vt:lpstr>
      <vt:lpstr>RdcAUX_Flyback_DCM</vt:lpstr>
      <vt:lpstr>RdcPri_FB</vt:lpstr>
      <vt:lpstr>RdcPri_FBB</vt:lpstr>
      <vt:lpstr>RdcPri_Flyback_CCM</vt:lpstr>
      <vt:lpstr>RdcPri_Flyback_DCM</vt:lpstr>
      <vt:lpstr>RR</vt:lpstr>
      <vt:lpstr>T_Index_FB</vt:lpstr>
      <vt:lpstr>T_Index_FBB</vt:lpstr>
      <vt:lpstr>T_Index_Flyback_CCM</vt:lpstr>
      <vt:lpstr>T_Index_Flyback_DCM</vt:lpstr>
      <vt:lpstr>T_Rise_Fall</vt:lpstr>
      <vt:lpstr>TC_3C92</vt:lpstr>
      <vt:lpstr>TC_3C96</vt:lpstr>
      <vt:lpstr>TC_3F35</vt:lpstr>
      <vt:lpstr>TC_3F36</vt:lpstr>
      <vt:lpstr>Vclamp_Flyback_CCM</vt:lpstr>
      <vt:lpstr>Vclamp_Flyback_DCM</vt:lpstr>
      <vt:lpstr>Vdiode1</vt:lpstr>
      <vt:lpstr>Vdiode2</vt:lpstr>
      <vt:lpstr>Vdiode3</vt:lpstr>
      <vt:lpstr>Vdiode4</vt:lpstr>
      <vt:lpstr>Vdiode5</vt:lpstr>
      <vt:lpstr>Vdiode6</vt:lpstr>
      <vt:lpstr>VdiodeAux</vt:lpstr>
      <vt:lpstr>Ve_FB</vt:lpstr>
      <vt:lpstr>Ve_FBB</vt:lpstr>
      <vt:lpstr>Ve_Flyback_CCM</vt:lpstr>
      <vt:lpstr>Ve_Flyback_DCM</vt:lpstr>
      <vt:lpstr>VinMax</vt:lpstr>
      <vt:lpstr>VinMin</vt:lpstr>
      <vt:lpstr>VinNom</vt:lpstr>
      <vt:lpstr>Vout1</vt:lpstr>
      <vt:lpstr>Vout1_Ripple</vt:lpstr>
      <vt:lpstr>Vout2</vt:lpstr>
      <vt:lpstr>Vout2_Ripple</vt:lpstr>
      <vt:lpstr>Vout3</vt:lpstr>
      <vt:lpstr>Vout3_Ripple</vt:lpstr>
      <vt:lpstr>Vout4</vt:lpstr>
      <vt:lpstr>Vout4_Ripple</vt:lpstr>
      <vt:lpstr>Vout5</vt:lpstr>
      <vt:lpstr>Vout5_Ripple</vt:lpstr>
      <vt:lpstr>Vout6</vt:lpstr>
      <vt:lpstr>Vout6_Ripple</vt:lpstr>
      <vt:lpstr>VOUTAUX</vt:lpstr>
      <vt:lpstr>VoutAUX_Ripple</vt:lpstr>
      <vt:lpstr>VoutPri_FB</vt:lpstr>
      <vt:lpstr>VoutPri_FBB</vt:lpstr>
      <vt:lpstr>VoutPri_Ripple_FB</vt:lpstr>
      <vt:lpstr>VoutPri_Ripple_FBB</vt:lpstr>
      <vt:lpstr>'Fly-Buck_Max'!Vpri</vt:lpstr>
      <vt:lpstr>Wa_FB</vt:lpstr>
      <vt:lpstr>Wa_FBB</vt:lpstr>
      <vt:lpstr>Wa_Flyback_CCM</vt:lpstr>
      <vt:lpstr>Wa_Flyback_DCM</vt:lpstr>
      <vt:lpstr>x_3C92</vt:lpstr>
      <vt:lpstr>x_3C96</vt:lpstr>
      <vt:lpstr>x_3F35</vt:lpstr>
      <vt:lpstr>x_3F36</vt:lpstr>
      <vt:lpstr>y_3C92</vt:lpstr>
      <vt:lpstr>y_3C96</vt:lpstr>
      <vt:lpstr>y_3F35</vt:lpstr>
      <vt:lpstr>y_3F36</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TI User</cp:lastModifiedBy>
  <dcterms:created xsi:type="dcterms:W3CDTF">2015-07-21T23:21:43Z</dcterms:created>
  <dcterms:modified xsi:type="dcterms:W3CDTF">2019-09-23T22:32:08Z</dcterms:modified>
</cp:coreProperties>
</file>