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2165" activeTab="1"/>
  </bookViews>
  <sheets>
    <sheet name="Instructions" sheetId="1" r:id="rId1"/>
    <sheet name="Calculations" sheetId="2" r:id="rId2"/>
  </sheets>
  <definedNames>
    <definedName name="_xlnm.Print_Area" localSheetId="1">'Calculations'!$A$1:$M$103</definedName>
    <definedName name="_xlnm.Print_Area" localSheetId="0">'Instructions'!$A$1:$O$87</definedName>
  </definedNames>
  <calcPr fullCalcOnLoad="1"/>
</workbook>
</file>

<file path=xl/comments2.xml><?xml version="1.0" encoding="utf-8"?>
<comments xmlns="http://schemas.openxmlformats.org/spreadsheetml/2006/main">
  <authors>
    <author>dmorgan</author>
    <author>bdemsc</author>
  </authors>
  <commentList>
    <comment ref="F12" authorId="0">
      <text>
        <r>
          <rPr>
            <b/>
            <sz val="8"/>
            <rFont val="Tahoma"/>
            <family val="0"/>
          </rPr>
          <t>The minimum system voltage must be no less than 2.9V.</t>
        </r>
      </text>
    </comment>
    <comment ref="F13" authorId="0">
      <text>
        <r>
          <rPr>
            <b/>
            <sz val="8"/>
            <rFont val="Tahoma"/>
            <family val="0"/>
          </rPr>
          <t>The maximum system voltage must be no greater than 17V.</t>
        </r>
      </text>
    </comment>
    <comment ref="F18" authorId="0">
      <text>
        <r>
          <rPr>
            <b/>
            <sz val="8"/>
            <rFont val="Tahoma"/>
            <family val="0"/>
          </rPr>
          <t>This calculated value uses the datasheet tolerances to ensure the current limit is not less than the maximum normal load current.</t>
        </r>
      </text>
    </comment>
    <comment ref="F19" authorId="0">
      <text>
        <r>
          <rPr>
            <b/>
            <sz val="8"/>
            <rFont val="Tahoma"/>
            <family val="0"/>
          </rPr>
          <t>Enter a value for Rs equal to or less than the recommended value. If Rs must be greater than 200 mohms see the Instructions worksheet.</t>
        </r>
      </text>
    </comment>
    <comment ref="F23" authorId="0">
      <text>
        <r>
          <rPr>
            <b/>
            <sz val="8"/>
            <rFont val="Tahoma"/>
            <family val="0"/>
          </rPr>
          <t>The power dissipation is calculated using the maximum normal load current. Ensure the selected resistor is rated for this power dissipation.</t>
        </r>
      </text>
    </comment>
    <comment ref="F25" authorId="0">
      <text>
        <r>
          <rPr>
            <b/>
            <sz val="8"/>
            <rFont val="Tahoma"/>
            <family val="0"/>
          </rPr>
          <t>Enter the maximum allowed power dissipation in the external FET, using the FET's SOA chart as a guide.
Enter the selected FET's SOA data below to create a chart for comparison with the LM25069's performance.</t>
        </r>
      </text>
    </comment>
    <comment ref="F27" authorId="0">
      <text>
        <r>
          <rPr>
            <b/>
            <sz val="8"/>
            <rFont val="Tahoma"/>
            <family val="0"/>
          </rPr>
          <t>Select the next smaller value  from a list of standard value resistors. If the power limit function is not used, enter 1000.</t>
        </r>
      </text>
    </comment>
    <comment ref="F15" authorId="0">
      <text>
        <r>
          <rPr>
            <b/>
            <sz val="8"/>
            <rFont val="Tahoma"/>
            <family val="0"/>
          </rPr>
          <t>This is the capacitance at Vout. This should not be zero. A minimum of 10 uF is recommended.</t>
        </r>
      </text>
    </comment>
    <comment ref="F32" authorId="0">
      <text>
        <r>
          <rPr>
            <b/>
            <sz val="8"/>
            <rFont val="Tahoma"/>
            <family val="0"/>
          </rPr>
          <t>This calculation uses the minimum current limit, minimum FET power limit, maximum system voltage, and the load capacitance from above. This calculation assumes the load draws no current until turn-on is complete. See the Instructions workseet.</t>
        </r>
      </text>
    </comment>
    <comment ref="F33" authorId="0">
      <text>
        <r>
          <rPr>
            <b/>
            <sz val="8"/>
            <rFont val="Tahoma"/>
            <family val="0"/>
          </rPr>
          <t>The capacitor's tolerances are not included in this calculation. See the Instructions worksheet.</t>
        </r>
      </text>
    </comment>
    <comment ref="F34" authorId="0">
      <text>
        <r>
          <rPr>
            <b/>
            <sz val="8"/>
            <rFont val="Tahoma"/>
            <family val="0"/>
          </rPr>
          <t>Select the next larger value from a list of available values. Tolerances must be considered.</t>
        </r>
      </text>
    </comment>
    <comment ref="F38" authorId="0">
      <text>
        <r>
          <rPr>
            <b/>
            <sz val="8"/>
            <rFont val="Tahoma"/>
            <family val="0"/>
          </rPr>
          <t>This calculation applies to the LM25069-2 version only.</t>
        </r>
      </text>
    </comment>
    <comment ref="F41" authorId="0">
      <text>
        <r>
          <rPr>
            <b/>
            <sz val="8"/>
            <rFont val="Tahoma"/>
            <family val="0"/>
          </rPr>
          <t>This threshold must be between 2.9V and 17V.</t>
        </r>
      </text>
    </comment>
    <comment ref="F42" authorId="0">
      <text>
        <r>
          <rPr>
            <b/>
            <sz val="8"/>
            <rFont val="Tahoma"/>
            <family val="0"/>
          </rPr>
          <t>This threshold must be greater than 2.65V, and less than the upper UVLO threshold.</t>
        </r>
      </text>
    </comment>
    <comment ref="F43" authorId="0">
      <text>
        <r>
          <rPr>
            <b/>
            <sz val="8"/>
            <rFont val="Tahoma"/>
            <family val="0"/>
          </rPr>
          <t>This threshold must be greater than the upper UVLO Threshold, and less than 17V.</t>
        </r>
      </text>
    </comment>
    <comment ref="F49" authorId="0">
      <text>
        <r>
          <rPr>
            <b/>
            <sz val="8"/>
            <rFont val="Tahoma"/>
            <family val="0"/>
          </rPr>
          <t>Select from a list of  available resistors.</t>
        </r>
      </text>
    </comment>
    <comment ref="F50" authorId="0">
      <text>
        <r>
          <rPr>
            <b/>
            <sz val="8"/>
            <rFont val="Tahoma"/>
            <family val="0"/>
          </rPr>
          <t>Select from a list of  available resistors.</t>
        </r>
      </text>
    </comment>
    <comment ref="F51" authorId="0">
      <text>
        <r>
          <rPr>
            <b/>
            <sz val="8"/>
            <rFont val="Tahoma"/>
            <family val="0"/>
          </rPr>
          <t>Select from a list of  available resistors.</t>
        </r>
      </text>
    </comment>
    <comment ref="F28" authorId="0">
      <text>
        <r>
          <rPr>
            <b/>
            <sz val="8"/>
            <rFont val="Tahoma"/>
            <family val="0"/>
          </rPr>
          <t>If &gt;150k is entered for Rpwr this power limit is determined by the maximum system voltage and the minimum current limit.</t>
        </r>
      </text>
    </comment>
    <comment ref="F29" authorId="0">
      <text>
        <r>
          <rPr>
            <b/>
            <sz val="8"/>
            <rFont val="Tahoma"/>
            <family val="0"/>
          </rPr>
          <t>If &gt;150k is entered for Rpwr this power limit is determined by the maximum system voltage and the typical current limit.</t>
        </r>
      </text>
    </comment>
    <comment ref="F30" authorId="0">
      <text>
        <r>
          <rPr>
            <b/>
            <sz val="8"/>
            <rFont val="Tahoma"/>
            <family val="0"/>
          </rPr>
          <t>If &gt;150k is entered for Rpwr this power limit is determined by the maximum system voltage and the maximum current limit.</t>
        </r>
      </text>
    </comment>
    <comment ref="G83" authorId="1">
      <text>
        <r>
          <rPr>
            <b/>
            <sz val="8"/>
            <rFont val="Tahoma"/>
            <family val="0"/>
          </rPr>
          <t>Enter data from the FET's SOA chart in its datasheet in these 5 cells.</t>
        </r>
      </text>
    </comment>
    <comment ref="F40" authorId="1">
      <text>
        <r>
          <rPr>
            <b/>
            <sz val="8"/>
            <rFont val="Tahoma"/>
            <family val="0"/>
          </rPr>
          <t>See the schematics at right to select the appropriate option for setting the UVLO and OVLO thresholds.</t>
        </r>
      </text>
    </comment>
  </commentList>
</comments>
</file>

<file path=xl/sharedStrings.xml><?xml version="1.0" encoding="utf-8"?>
<sst xmlns="http://schemas.openxmlformats.org/spreadsheetml/2006/main" count="222" uniqueCount="166">
  <si>
    <r>
      <t>2) The pull-up voltage V</t>
    </r>
    <r>
      <rPr>
        <vertAlign val="subscript"/>
        <sz val="10"/>
        <rFont val="Arial"/>
        <family val="2"/>
      </rPr>
      <t>PGD</t>
    </r>
    <r>
      <rPr>
        <sz val="10"/>
        <rFont val="Arial"/>
        <family val="0"/>
      </rPr>
      <t xml:space="preserve"> can be any value up to 17 volts.</t>
    </r>
  </si>
  <si>
    <t>Step 1. General Requirements</t>
  </si>
  <si>
    <t>Volts</t>
  </si>
  <si>
    <t>Maximum normal load current</t>
  </si>
  <si>
    <t>Amps</t>
  </si>
  <si>
    <t>Step 2. Current Limit</t>
  </si>
  <si>
    <t>mohms</t>
  </si>
  <si>
    <t>Max Rs =</t>
  </si>
  <si>
    <r>
      <t>Select the value for R</t>
    </r>
    <r>
      <rPr>
        <vertAlign val="subscript"/>
        <sz val="10"/>
        <rFont val="Arial"/>
        <family val="2"/>
      </rPr>
      <t>S</t>
    </r>
  </si>
  <si>
    <t>Min. Current limit =</t>
  </si>
  <si>
    <t>Typ. Current limit =</t>
  </si>
  <si>
    <t>Max. Current limit =</t>
  </si>
  <si>
    <t>Rs Power Diss. =</t>
  </si>
  <si>
    <t>mW</t>
  </si>
  <si>
    <t>Step 3. Power Limit</t>
  </si>
  <si>
    <t>Watts</t>
  </si>
  <si>
    <t>Max value for RPWR =</t>
  </si>
  <si>
    <t>kohms</t>
  </si>
  <si>
    <r>
      <t>Select the value for R</t>
    </r>
    <r>
      <rPr>
        <vertAlign val="subscript"/>
        <sz val="10"/>
        <rFont val="Arial"/>
        <family val="2"/>
      </rPr>
      <t>PWR</t>
    </r>
  </si>
  <si>
    <t>Resulting Typical Power Limit =</t>
  </si>
  <si>
    <t>Resulting Minimum Power Limit =</t>
  </si>
  <si>
    <t>Resulting Maximum Power Limit =</t>
  </si>
  <si>
    <t>uF</t>
  </si>
  <si>
    <t>ms</t>
  </si>
  <si>
    <t>(V)</t>
  </si>
  <si>
    <t>(A)</t>
  </si>
  <si>
    <t>Est. turn-on-time =</t>
  </si>
  <si>
    <t>Min CT value =</t>
  </si>
  <si>
    <r>
      <t>Select the value for C</t>
    </r>
    <r>
      <rPr>
        <vertAlign val="subscript"/>
        <sz val="10"/>
        <rFont val="Arial"/>
        <family val="2"/>
      </rPr>
      <t>T</t>
    </r>
  </si>
  <si>
    <t>Typ. Fault timeout period =</t>
  </si>
  <si>
    <t>Min. Fault Timeout period =</t>
  </si>
  <si>
    <t>Typ. Insertion time =</t>
  </si>
  <si>
    <t>Typ. Restart time =</t>
  </si>
  <si>
    <t>seconds</t>
  </si>
  <si>
    <t>Desired upper UVLO Threshold</t>
  </si>
  <si>
    <t>Desired lower UVLO Threshold</t>
  </si>
  <si>
    <r>
      <t>Output Load Capacitance (C</t>
    </r>
    <r>
      <rPr>
        <vertAlign val="subscript"/>
        <sz val="10"/>
        <rFont val="Arial"/>
        <family val="2"/>
      </rPr>
      <t>L</t>
    </r>
    <r>
      <rPr>
        <sz val="10"/>
        <rFont val="Arial"/>
        <family val="0"/>
      </rPr>
      <t>)</t>
    </r>
  </si>
  <si>
    <t>R1 =</t>
  </si>
  <si>
    <t>R2 =</t>
  </si>
  <si>
    <t>R3 =</t>
  </si>
  <si>
    <t>R4 =</t>
  </si>
  <si>
    <t xml:space="preserve">   24% tolerance used in this calculation.</t>
  </si>
  <si>
    <t xml:space="preserve">  10% margin added in this calculation</t>
  </si>
  <si>
    <r>
      <t>R</t>
    </r>
    <r>
      <rPr>
        <vertAlign val="subscript"/>
        <sz val="10"/>
        <rFont val="Arial"/>
        <family val="2"/>
      </rPr>
      <t>PWR</t>
    </r>
    <r>
      <rPr>
        <sz val="10"/>
        <rFont val="Arial"/>
        <family val="0"/>
      </rPr>
      <t xml:space="preserve"> =</t>
    </r>
  </si>
  <si>
    <r>
      <t>C</t>
    </r>
    <r>
      <rPr>
        <vertAlign val="subscript"/>
        <sz val="10"/>
        <rFont val="Arial"/>
        <family val="2"/>
      </rPr>
      <t>T</t>
    </r>
    <r>
      <rPr>
        <sz val="10"/>
        <rFont val="Arial"/>
        <family val="0"/>
      </rPr>
      <t xml:space="preserve"> =</t>
    </r>
  </si>
  <si>
    <t>Notes:</t>
  </si>
  <si>
    <t>Enter values in Blue Shaded Cells</t>
  </si>
  <si>
    <r>
      <t>Maximum recommended value for R</t>
    </r>
    <r>
      <rPr>
        <vertAlign val="subscript"/>
        <sz val="10"/>
        <rFont val="Arial"/>
        <family val="2"/>
      </rPr>
      <t>S</t>
    </r>
  </si>
  <si>
    <t>Resulting minimum current limit</t>
  </si>
  <si>
    <t>Resulting typical current limit</t>
  </si>
  <si>
    <t>Resulting maximum current limit</t>
  </si>
  <si>
    <r>
      <t>Power dissipation in R</t>
    </r>
    <r>
      <rPr>
        <vertAlign val="subscript"/>
        <sz val="10"/>
        <rFont val="Arial"/>
        <family val="2"/>
      </rPr>
      <t>S</t>
    </r>
  </si>
  <si>
    <t>Desired maximum FET Power Limit</t>
  </si>
  <si>
    <r>
      <t>Maximum recommended value for R</t>
    </r>
    <r>
      <rPr>
        <vertAlign val="subscript"/>
        <sz val="10"/>
        <rFont val="Arial"/>
        <family val="2"/>
      </rPr>
      <t>PWR</t>
    </r>
  </si>
  <si>
    <t>Resulting minimum FET power limit</t>
  </si>
  <si>
    <t>Resulting typical FET power limit</t>
  </si>
  <si>
    <t>Resulting maximum FET power limit</t>
  </si>
  <si>
    <t>Maximum estimated Turn-on-time</t>
  </si>
  <si>
    <r>
      <t>Minimum recommended value for C</t>
    </r>
    <r>
      <rPr>
        <vertAlign val="subscript"/>
        <sz val="10"/>
        <rFont val="Arial"/>
        <family val="2"/>
      </rPr>
      <t>T</t>
    </r>
  </si>
  <si>
    <t>Resulting minimum Fault Timeout Period</t>
  </si>
  <si>
    <t>Resulting typical Fault Timeout Period</t>
  </si>
  <si>
    <t>Resulting typical Insertion Time</t>
  </si>
  <si>
    <t>Maximum Input System Voltage: Vin(max)</t>
  </si>
  <si>
    <t>Minimum Input System Voltage: Vin(min)</t>
  </si>
  <si>
    <t>Version 1.0</t>
  </si>
  <si>
    <t>LM25069 Hot Swap Quick Start Component Calculator</t>
  </si>
  <si>
    <t>Desired upper OVLO Threshold</t>
  </si>
  <si>
    <t>Step 5. UVLO and OVLO Thresholds</t>
  </si>
  <si>
    <t>Option A</t>
  </si>
  <si>
    <t>Option B</t>
  </si>
  <si>
    <t>Select Option A or Option B</t>
  </si>
  <si>
    <t>Desired lower OVLO Threshold</t>
  </si>
  <si>
    <t>Recommended value for:   R1</t>
  </si>
  <si>
    <t>R2</t>
  </si>
  <si>
    <t>R3</t>
  </si>
  <si>
    <t>R4</t>
  </si>
  <si>
    <t>A</t>
  </si>
  <si>
    <t>B</t>
  </si>
  <si>
    <t>UVLO upper is F40</t>
  </si>
  <si>
    <t>UVLO lower is F41</t>
  </si>
  <si>
    <t>OVLO upper is F42</t>
  </si>
  <si>
    <t>OVLO lower is F43</t>
  </si>
  <si>
    <t xml:space="preserve">R3 = </t>
  </si>
  <si>
    <t xml:space="preserve">R2 = </t>
  </si>
  <si>
    <t xml:space="preserve">R1 = </t>
  </si>
  <si>
    <t xml:space="preserve">Select the value for R1 </t>
  </si>
  <si>
    <t xml:space="preserve">Select the value for R2 </t>
  </si>
  <si>
    <t xml:space="preserve">Select the value for R3 </t>
  </si>
  <si>
    <t xml:space="preserve">Select the value for R4 </t>
  </si>
  <si>
    <t xml:space="preserve">R4 = </t>
  </si>
  <si>
    <t>Minimum</t>
  </si>
  <si>
    <t>Typical</t>
  </si>
  <si>
    <t>Maximum</t>
  </si>
  <si>
    <t xml:space="preserve">Resulting upper UVLO Threshold = </t>
  </si>
  <si>
    <t xml:space="preserve">Resulting lower UVLO Threshold = </t>
  </si>
  <si>
    <t xml:space="preserve">Resulting upper OVLO Threshold = </t>
  </si>
  <si>
    <t xml:space="preserve">Resulting lower OVLO Threshold = </t>
  </si>
  <si>
    <t xml:space="preserve">Resulting upper UVLO Threshold (min) = </t>
  </si>
  <si>
    <t xml:space="preserve">Resulting upper UVLO Threshold (typ) = </t>
  </si>
  <si>
    <t xml:space="preserve">Resulting upper UVLO Threshold (max) = </t>
  </si>
  <si>
    <t xml:space="preserve">Resulting lower UVLO Threshold (min) = </t>
  </si>
  <si>
    <t xml:space="preserve">Resulting lower UVLO Threshold (typ) = </t>
  </si>
  <si>
    <t xml:space="preserve">Resulting lower UVLO Threshold (max) = </t>
  </si>
  <si>
    <t xml:space="preserve">Resulting upper OVLO Threshold (min) = </t>
  </si>
  <si>
    <t xml:space="preserve">Resulting upper OVLO Threshold (typ) = </t>
  </si>
  <si>
    <t xml:space="preserve">Resulting upper OVLO Threshold (max) = </t>
  </si>
  <si>
    <t xml:space="preserve">Resulting lower OVLO Threshold (min) = </t>
  </si>
  <si>
    <t xml:space="preserve">Resulting lower OVLO Threshold (typ) = </t>
  </si>
  <si>
    <t xml:space="preserve">Resulting lower OVLO Threshold (max) = </t>
  </si>
  <si>
    <t>R1 is F48</t>
  </si>
  <si>
    <t>R2 is F49</t>
  </si>
  <si>
    <t>R3 is F50</t>
  </si>
  <si>
    <t>R4 is F51</t>
  </si>
  <si>
    <t>Resulting Thresholds:</t>
  </si>
  <si>
    <t xml:space="preserve">If any of the above cells is red see the </t>
  </si>
  <si>
    <t>Instructions worksheet.</t>
  </si>
  <si>
    <r>
      <t>1) C</t>
    </r>
    <r>
      <rPr>
        <vertAlign val="subscript"/>
        <sz val="10"/>
        <rFont val="Arial"/>
        <family val="2"/>
      </rPr>
      <t>IN</t>
    </r>
    <r>
      <rPr>
        <sz val="10"/>
        <rFont val="Arial"/>
        <family val="0"/>
      </rPr>
      <t xml:space="preserve"> provides transient suppression at the VIN pin.</t>
    </r>
  </si>
  <si>
    <r>
      <t>C</t>
    </r>
    <r>
      <rPr>
        <vertAlign val="subscript"/>
        <sz val="10"/>
        <rFont val="Arial"/>
        <family val="2"/>
      </rPr>
      <t>IN</t>
    </r>
    <r>
      <rPr>
        <sz val="10"/>
        <rFont val="Arial"/>
        <family val="0"/>
      </rPr>
      <t xml:space="preserve"> = </t>
    </r>
  </si>
  <si>
    <t>Step 6. PGD Output</t>
  </si>
  <si>
    <r>
      <t xml:space="preserve">Step 7. Summary </t>
    </r>
    <r>
      <rPr>
        <sz val="10"/>
        <rFont val="Arial"/>
        <family val="2"/>
      </rPr>
      <t xml:space="preserve">                               R</t>
    </r>
    <r>
      <rPr>
        <vertAlign val="subscript"/>
        <sz val="10"/>
        <rFont val="Arial"/>
        <family val="2"/>
      </rPr>
      <t>S</t>
    </r>
    <r>
      <rPr>
        <sz val="10"/>
        <rFont val="Arial"/>
        <family val="2"/>
      </rPr>
      <t xml:space="preserve"> =</t>
    </r>
  </si>
  <si>
    <r>
      <t>Select the value for R</t>
    </r>
    <r>
      <rPr>
        <vertAlign val="subscript"/>
        <sz val="10"/>
        <rFont val="Arial"/>
        <family val="2"/>
      </rPr>
      <t>PG</t>
    </r>
  </si>
  <si>
    <r>
      <t>R</t>
    </r>
    <r>
      <rPr>
        <vertAlign val="subscript"/>
        <sz val="10"/>
        <rFont val="Arial"/>
        <family val="2"/>
      </rPr>
      <t>PG</t>
    </r>
    <r>
      <rPr>
        <sz val="10"/>
        <rFont val="Arial"/>
        <family val="0"/>
      </rPr>
      <t xml:space="preserve"> =</t>
    </r>
  </si>
  <si>
    <t>Calculated values are shown in the white cells.</t>
  </si>
  <si>
    <t>Step 4. Timer Setting</t>
  </si>
  <si>
    <r>
      <t>mohms</t>
    </r>
    <r>
      <rPr>
        <sz val="10"/>
        <color indexed="10"/>
        <rFont val="Arial"/>
        <family val="2"/>
      </rPr>
      <t xml:space="preserve"> - </t>
    </r>
    <r>
      <rPr>
        <b/>
        <sz val="10"/>
        <color indexed="10"/>
        <rFont val="Arial"/>
        <family val="2"/>
      </rPr>
      <t>If this cell is red, see the Instructions worksheet.</t>
    </r>
  </si>
  <si>
    <t>CALCULATIONS WORKSHEET.</t>
  </si>
  <si>
    <t>START WITH STEP 1, AND THEN WORK DOWN ON THE</t>
  </si>
  <si>
    <t>Typ. Max pwr =</t>
  </si>
  <si>
    <t>Max. Max. pwr =</t>
  </si>
  <si>
    <t>Min. Max pwr =</t>
  </si>
  <si>
    <t>Typical Current Limit =</t>
  </si>
  <si>
    <t>Typical FET Power Limit =</t>
  </si>
  <si>
    <t>Step 8. Create a Comparison SOA Chart (Optional)</t>
  </si>
  <si>
    <t>FET's SOA Data</t>
  </si>
  <si>
    <r>
      <t>V</t>
    </r>
    <r>
      <rPr>
        <b/>
        <vertAlign val="subscript"/>
        <sz val="10"/>
        <rFont val="Arial"/>
        <family val="2"/>
      </rPr>
      <t>DS</t>
    </r>
  </si>
  <si>
    <r>
      <t>I</t>
    </r>
    <r>
      <rPr>
        <b/>
        <vertAlign val="subscript"/>
        <sz val="10"/>
        <rFont val="Arial"/>
        <family val="2"/>
      </rPr>
      <t>DS</t>
    </r>
  </si>
  <si>
    <t>GRAPH:</t>
  </si>
  <si>
    <t>Selected Rs =</t>
  </si>
  <si>
    <r>
      <t>Selected R</t>
    </r>
    <r>
      <rPr>
        <vertAlign val="subscript"/>
        <sz val="10"/>
        <rFont val="Arial"/>
        <family val="2"/>
      </rPr>
      <t>PWR</t>
    </r>
    <r>
      <rPr>
        <sz val="10"/>
        <rFont val="Arial"/>
        <family val="0"/>
      </rPr>
      <t xml:space="preserve"> =</t>
    </r>
  </si>
  <si>
    <t>Max System voltage =</t>
  </si>
  <si>
    <t>Current Lim (min) =</t>
  </si>
  <si>
    <t>Current Lim (typ) =</t>
  </si>
  <si>
    <t>Current Lim (max) =</t>
  </si>
  <si>
    <t>Power Limit (min) =</t>
  </si>
  <si>
    <t>Power Limit (typ) =</t>
  </si>
  <si>
    <t>Power Limit (max) =</t>
  </si>
  <si>
    <t>A) This table calculates the Ids current based</t>
  </si>
  <si>
    <t>B) This table corrrects the table at left so no</t>
  </si>
  <si>
    <t>on power limit only - no current limit info.</t>
  </si>
  <si>
    <t>current is greater than the current limit.</t>
  </si>
  <si>
    <t>and add the SOA curve. This data is plotted.</t>
  </si>
  <si>
    <t>Vds</t>
  </si>
  <si>
    <t>Min</t>
  </si>
  <si>
    <t>Typ</t>
  </si>
  <si>
    <t>Max</t>
  </si>
  <si>
    <t>SOA data points from</t>
  </si>
  <si>
    <t>the customer's SOA</t>
  </si>
  <si>
    <t>data he entered.</t>
  </si>
  <si>
    <t>User's</t>
  </si>
  <si>
    <t>Ids</t>
  </si>
  <si>
    <t>x = customer's entry</t>
  </si>
  <si>
    <t>x</t>
  </si>
  <si>
    <t>SOA</t>
  </si>
  <si>
    <t>C) This table creates the</t>
  </si>
  <si>
    <t>D) This table changes IDS values to zero for Vds&gt;Vin(max)</t>
  </si>
  <si>
    <t>Resulting typical Restart Time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</si>
</sst>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0"/>
      <name val="Arial"/>
      <family val="0"/>
    </font>
    <font>
      <b/>
      <sz val="10"/>
      <name val="Arial"/>
      <family val="2"/>
    </font>
    <font>
      <sz val="8"/>
      <name val="Arial"/>
      <family val="0"/>
    </font>
    <font>
      <b/>
      <sz val="8"/>
      <name val="Tahoma"/>
      <family val="0"/>
    </font>
    <font>
      <vertAlign val="subscript"/>
      <sz val="10"/>
      <name val="Arial"/>
      <family val="2"/>
    </font>
    <font>
      <b/>
      <sz val="10"/>
      <color indexed="10"/>
      <name val="Arial"/>
      <family val="2"/>
    </font>
    <font>
      <sz val="10"/>
      <color indexed="10"/>
      <name val="Arial"/>
      <family val="2"/>
    </font>
    <font>
      <b/>
      <sz val="14"/>
      <name val="Arial"/>
      <family val="2"/>
    </font>
    <font>
      <sz val="10"/>
      <color indexed="55"/>
      <name val="Arial"/>
      <family val="0"/>
    </font>
    <font>
      <b/>
      <vertAlign val="subscript"/>
      <sz val="10"/>
      <name val="Arial"/>
      <family val="2"/>
    </font>
    <font>
      <sz val="9.5"/>
      <color indexed="8"/>
      <name val="Arial"/>
      <family val="0"/>
    </font>
    <font>
      <sz val="9"/>
      <color indexed="8"/>
      <name val="Arial"/>
      <family val="0"/>
    </font>
    <font>
      <sz val="8.2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b/>
      <sz val="10"/>
      <color indexed="8"/>
      <name val="Arial"/>
      <family val="0"/>
    </font>
    <font>
      <sz val="10"/>
      <color indexed="8"/>
      <name val="Arial"/>
      <family val="0"/>
    </font>
    <font>
      <vertAlign val="subscript"/>
      <sz val="10"/>
      <color indexed="8"/>
      <name val="Arial"/>
      <family val="0"/>
    </font>
    <font>
      <u val="single"/>
      <sz val="10"/>
      <color indexed="8"/>
      <name val="Arial"/>
      <family val="0"/>
    </font>
    <font>
      <sz val="10"/>
      <color indexed="8"/>
      <name val="Symbol"/>
      <family val="0"/>
    </font>
    <font>
      <sz val="12"/>
      <color indexed="10"/>
      <name val="Arial"/>
      <family val="0"/>
    </font>
    <font>
      <u val="single"/>
      <sz val="8"/>
      <color indexed="8"/>
      <name val="Arial"/>
      <family val="0"/>
    </font>
    <font>
      <sz val="8"/>
      <color indexed="8"/>
      <name val="Arial"/>
      <family val="0"/>
    </font>
    <font>
      <vertAlign val="superscript"/>
      <sz val="10"/>
      <color indexed="8"/>
      <name val="Arial"/>
      <family val="0"/>
    </font>
    <font>
      <u val="single"/>
      <vertAlign val="superscript"/>
      <sz val="10"/>
      <color indexed="8"/>
      <name val="Arial"/>
      <family val="0"/>
    </font>
    <font>
      <sz val="11"/>
      <name val="Calibri"/>
      <family val="0"/>
    </font>
    <font>
      <b/>
      <sz val="9"/>
      <color indexed="8"/>
      <name val="Arial"/>
      <family val="0"/>
    </font>
    <font>
      <b/>
      <vertAlign val="subscript"/>
      <sz val="9"/>
      <color indexed="8"/>
      <name val="Arial"/>
      <family val="0"/>
    </font>
    <font>
      <b/>
      <sz val="11.25"/>
      <color indexed="8"/>
      <name val="Arial"/>
      <family val="0"/>
    </font>
    <font>
      <b/>
      <vertAlign val="subscript"/>
      <sz val="1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thick"/>
      <bottom>
        <color indexed="63"/>
      </bottom>
    </border>
    <border>
      <left style="thin"/>
      <right style="thin"/>
      <top style="thick"/>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right style="thin"/>
      <top style="thin"/>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Fill="1" applyBorder="1" applyAlignment="1">
      <alignment horizontal="right"/>
    </xf>
    <xf numFmtId="2" fontId="0" fillId="0" borderId="0" xfId="0" applyNumberFormat="1" applyAlignment="1">
      <alignment/>
    </xf>
    <xf numFmtId="0" fontId="0" fillId="33" borderId="0" xfId="0" applyFill="1" applyBorder="1" applyAlignment="1">
      <alignment horizontal="right"/>
    </xf>
    <xf numFmtId="0" fontId="0" fillId="34" borderId="0" xfId="0" applyFill="1" applyBorder="1" applyAlignment="1">
      <alignment horizontal="right"/>
    </xf>
    <xf numFmtId="0" fontId="0" fillId="35" borderId="0" xfId="0" applyFill="1" applyBorder="1" applyAlignment="1">
      <alignment horizontal="right"/>
    </xf>
    <xf numFmtId="0" fontId="0" fillId="0" borderId="10" xfId="0" applyBorder="1" applyAlignment="1">
      <alignment horizontal="center"/>
    </xf>
    <xf numFmtId="164" fontId="0" fillId="0" borderId="0" xfId="0" applyNumberFormat="1" applyAlignment="1">
      <alignment horizontal="center"/>
    </xf>
    <xf numFmtId="10" fontId="0" fillId="0" borderId="0" xfId="0" applyNumberFormat="1" applyAlignment="1">
      <alignment/>
    </xf>
    <xf numFmtId="0" fontId="0" fillId="0" borderId="11" xfId="0" applyBorder="1" applyAlignment="1">
      <alignment horizontal="center"/>
    </xf>
    <xf numFmtId="0" fontId="0" fillId="0" borderId="0" xfId="0" applyBorder="1" applyAlignment="1">
      <alignment/>
    </xf>
    <xf numFmtId="0" fontId="0" fillId="33" borderId="0" xfId="0" applyFill="1" applyAlignment="1">
      <alignment horizontal="right"/>
    </xf>
    <xf numFmtId="0" fontId="0" fillId="0" borderId="12" xfId="0" applyBorder="1" applyAlignment="1">
      <alignment/>
    </xf>
    <xf numFmtId="0" fontId="0" fillId="0" borderId="13" xfId="0" applyBorder="1" applyAlignment="1">
      <alignment/>
    </xf>
    <xf numFmtId="0" fontId="0" fillId="0" borderId="14" xfId="0" applyFill="1" applyBorder="1" applyAlignment="1">
      <alignment horizontal="right"/>
    </xf>
    <xf numFmtId="0" fontId="0" fillId="0" borderId="15" xfId="0" applyBorder="1" applyAlignment="1">
      <alignment/>
    </xf>
    <xf numFmtId="0" fontId="0" fillId="0" borderId="16" xfId="0" applyFill="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Fill="1" applyBorder="1" applyAlignment="1">
      <alignment horizontal="right"/>
    </xf>
    <xf numFmtId="2" fontId="0" fillId="0" borderId="0" xfId="0" applyNumberFormat="1" applyAlignment="1">
      <alignment horizontal="center"/>
    </xf>
    <xf numFmtId="0" fontId="0" fillId="36" borderId="0" xfId="0" applyFill="1" applyAlignment="1">
      <alignment/>
    </xf>
    <xf numFmtId="0" fontId="1" fillId="36" borderId="0" xfId="0" applyFont="1" applyFill="1" applyAlignment="1">
      <alignment/>
    </xf>
    <xf numFmtId="0" fontId="1" fillId="36" borderId="0" xfId="0" applyFont="1" applyFill="1" applyBorder="1" applyAlignment="1">
      <alignment wrapText="1"/>
    </xf>
    <xf numFmtId="0" fontId="0" fillId="36" borderId="0" xfId="0" applyFill="1" applyBorder="1" applyAlignment="1">
      <alignment wrapText="1"/>
    </xf>
    <xf numFmtId="0" fontId="0" fillId="36" borderId="0" xfId="0" applyFill="1" applyAlignment="1">
      <alignment wrapText="1"/>
    </xf>
    <xf numFmtId="0" fontId="0" fillId="36" borderId="0" xfId="0" applyNumberFormat="1" applyFont="1" applyFill="1" applyBorder="1" applyAlignment="1">
      <alignment wrapText="1"/>
    </xf>
    <xf numFmtId="12" fontId="0" fillId="36" borderId="0" xfId="0" applyNumberFormat="1" applyFill="1" applyAlignment="1">
      <alignment/>
    </xf>
    <xf numFmtId="0" fontId="0" fillId="37" borderId="10" xfId="0" applyFill="1" applyBorder="1" applyAlignment="1" applyProtection="1">
      <alignment horizontal="center"/>
      <protection locked="0"/>
    </xf>
    <xf numFmtId="2" fontId="0" fillId="37" borderId="10"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0" fillId="36" borderId="0" xfId="0" applyFill="1" applyAlignment="1">
      <alignment horizontal="center"/>
    </xf>
    <xf numFmtId="0" fontId="0" fillId="36" borderId="10" xfId="0" applyFill="1" applyBorder="1" applyAlignment="1">
      <alignment horizontal="center"/>
    </xf>
    <xf numFmtId="0" fontId="0" fillId="36" borderId="0" xfId="0" applyFill="1" applyAlignment="1">
      <alignment horizontal="right"/>
    </xf>
    <xf numFmtId="2" fontId="0" fillId="36" borderId="10" xfId="0" applyNumberFormat="1" applyFill="1" applyBorder="1" applyAlignment="1">
      <alignment horizontal="center"/>
    </xf>
    <xf numFmtId="0" fontId="0" fillId="36" borderId="0" xfId="0" applyFill="1" applyBorder="1" applyAlignment="1">
      <alignment horizontal="right"/>
    </xf>
    <xf numFmtId="164" fontId="0" fillId="36" borderId="10" xfId="0" applyNumberFormat="1" applyFill="1" applyBorder="1" applyAlignment="1">
      <alignment horizontal="center"/>
    </xf>
    <xf numFmtId="1" fontId="0" fillId="36" borderId="10" xfId="0" applyNumberFormat="1" applyFill="1" applyBorder="1" applyAlignment="1">
      <alignment horizontal="center"/>
    </xf>
    <xf numFmtId="0" fontId="0" fillId="36" borderId="0" xfId="0" applyFill="1" applyBorder="1" applyAlignment="1">
      <alignment horizontal="center"/>
    </xf>
    <xf numFmtId="0" fontId="0" fillId="36" borderId="20" xfId="0" applyFill="1" applyBorder="1" applyAlignment="1">
      <alignment horizontal="right"/>
    </xf>
    <xf numFmtId="2" fontId="0" fillId="36" borderId="21" xfId="0" applyNumberFormat="1" applyFill="1" applyBorder="1" applyAlignment="1">
      <alignment horizontal="center"/>
    </xf>
    <xf numFmtId="0" fontId="0" fillId="36" borderId="0" xfId="0" applyFill="1" applyBorder="1" applyAlignment="1">
      <alignment/>
    </xf>
    <xf numFmtId="0" fontId="0" fillId="36" borderId="22" xfId="0" applyFill="1" applyBorder="1" applyAlignment="1">
      <alignment horizontal="right"/>
    </xf>
    <xf numFmtId="164" fontId="0" fillId="36" borderId="21" xfId="0" applyNumberFormat="1" applyFill="1" applyBorder="1" applyAlignment="1">
      <alignment horizontal="center"/>
    </xf>
    <xf numFmtId="0" fontId="0" fillId="36" borderId="23" xfId="0" applyFill="1" applyBorder="1" applyAlignment="1">
      <alignment horizontal="right"/>
    </xf>
    <xf numFmtId="0" fontId="5" fillId="36" borderId="0" xfId="0" applyFont="1" applyFill="1" applyAlignment="1">
      <alignment/>
    </xf>
    <xf numFmtId="0" fontId="1" fillId="36" borderId="0" xfId="0" applyFont="1" applyFill="1" applyAlignment="1">
      <alignment horizontal="right"/>
    </xf>
    <xf numFmtId="0" fontId="1" fillId="36" borderId="0" xfId="0" applyFont="1" applyFill="1" applyAlignment="1">
      <alignment horizontal="center"/>
    </xf>
    <xf numFmtId="2" fontId="0" fillId="36" borderId="24" xfId="0" applyNumberFormat="1" applyFill="1" applyBorder="1" applyAlignment="1">
      <alignment horizontal="center"/>
    </xf>
    <xf numFmtId="2" fontId="0" fillId="36" borderId="25" xfId="0" applyNumberFormat="1" applyFill="1" applyBorder="1" applyAlignment="1">
      <alignment horizontal="center"/>
    </xf>
    <xf numFmtId="2" fontId="0" fillId="36" borderId="26" xfId="0" applyNumberFormat="1" applyFill="1" applyBorder="1" applyAlignment="1">
      <alignment horizontal="center"/>
    </xf>
    <xf numFmtId="2" fontId="0" fillId="36" borderId="27" xfId="0" applyNumberFormat="1" applyFill="1" applyBorder="1" applyAlignment="1">
      <alignment horizontal="center"/>
    </xf>
    <xf numFmtId="2" fontId="0" fillId="36" borderId="28" xfId="0" applyNumberFormat="1" applyFill="1" applyBorder="1" applyAlignment="1">
      <alignment horizontal="center"/>
    </xf>
    <xf numFmtId="2" fontId="0" fillId="36" borderId="29" xfId="0" applyNumberFormat="1" applyFill="1" applyBorder="1" applyAlignment="1">
      <alignment horizontal="center"/>
    </xf>
    <xf numFmtId="2" fontId="0" fillId="36" borderId="30" xfId="0" applyNumberFormat="1" applyFill="1" applyBorder="1" applyAlignment="1">
      <alignment horizontal="center"/>
    </xf>
    <xf numFmtId="2" fontId="0" fillId="36" borderId="31" xfId="0" applyNumberFormat="1" applyFill="1" applyBorder="1" applyAlignment="1">
      <alignment horizontal="center"/>
    </xf>
    <xf numFmtId="0" fontId="0" fillId="36" borderId="0" xfId="0" applyFont="1" applyFill="1" applyBorder="1" applyAlignment="1">
      <alignment horizontal="right"/>
    </xf>
    <xf numFmtId="0" fontId="7" fillId="36" borderId="0" xfId="0" applyFont="1" applyFill="1" applyAlignment="1">
      <alignment/>
    </xf>
    <xf numFmtId="164" fontId="0" fillId="36" borderId="0" xfId="0" applyNumberFormat="1" applyFill="1" applyAlignment="1">
      <alignment/>
    </xf>
    <xf numFmtId="0" fontId="8" fillId="36" borderId="0" xfId="0" applyFont="1" applyFill="1" applyAlignment="1">
      <alignment horizontal="left"/>
    </xf>
    <xf numFmtId="14" fontId="8" fillId="36" borderId="0" xfId="0" applyNumberFormat="1" applyFont="1" applyFill="1" applyAlignment="1">
      <alignment horizontal="left"/>
    </xf>
    <xf numFmtId="0" fontId="0" fillId="0" borderId="10" xfId="0" applyFill="1" applyBorder="1" applyAlignment="1">
      <alignment horizontal="center"/>
    </xf>
    <xf numFmtId="0" fontId="1" fillId="0" borderId="0" xfId="0" applyFont="1" applyAlignment="1">
      <alignment/>
    </xf>
    <xf numFmtId="2" fontId="0" fillId="0" borderId="10" xfId="0" applyNumberFormat="1" applyBorder="1" applyAlignment="1">
      <alignment horizontal="center"/>
    </xf>
    <xf numFmtId="0" fontId="0" fillId="0" borderId="20" xfId="0" applyBorder="1" applyAlignment="1">
      <alignment horizontal="center"/>
    </xf>
    <xf numFmtId="0" fontId="0" fillId="0" borderId="23" xfId="0" applyFill="1" applyBorder="1" applyAlignment="1">
      <alignment horizontal="center"/>
    </xf>
    <xf numFmtId="0" fontId="0" fillId="37" borderId="28" xfId="0" applyFill="1" applyBorder="1" applyAlignment="1" applyProtection="1">
      <alignment horizontal="center"/>
      <protection locked="0"/>
    </xf>
    <xf numFmtId="0" fontId="0" fillId="37" borderId="31" xfId="0" applyFill="1" applyBorder="1" applyAlignment="1" applyProtection="1">
      <alignment horizontal="center"/>
      <protection locked="0"/>
    </xf>
    <xf numFmtId="0" fontId="1" fillId="36" borderId="32" xfId="0" applyFont="1" applyFill="1" applyBorder="1" applyAlignment="1">
      <alignment horizontal="left"/>
    </xf>
    <xf numFmtId="0" fontId="0" fillId="36" borderId="33" xfId="0" applyFill="1" applyBorder="1" applyAlignment="1">
      <alignment horizontal="center"/>
    </xf>
    <xf numFmtId="0" fontId="0" fillId="36" borderId="34" xfId="0" applyFill="1" applyBorder="1" applyAlignment="1">
      <alignment/>
    </xf>
    <xf numFmtId="0" fontId="0" fillId="36" borderId="35" xfId="0" applyFill="1" applyBorder="1" applyAlignment="1">
      <alignment horizontal="right"/>
    </xf>
    <xf numFmtId="0" fontId="0" fillId="36" borderId="36" xfId="0" applyFill="1" applyBorder="1" applyAlignment="1">
      <alignment/>
    </xf>
    <xf numFmtId="164" fontId="0" fillId="36" borderId="20" xfId="0" applyNumberFormat="1" applyFill="1" applyBorder="1" applyAlignment="1">
      <alignment horizontal="center"/>
    </xf>
    <xf numFmtId="2" fontId="0" fillId="36" borderId="20" xfId="0" applyNumberFormat="1" applyFill="1" applyBorder="1" applyAlignment="1">
      <alignment horizontal="center"/>
    </xf>
    <xf numFmtId="0" fontId="0" fillId="36" borderId="20" xfId="0" applyFill="1" applyBorder="1" applyAlignment="1">
      <alignment horizontal="center"/>
    </xf>
    <xf numFmtId="0" fontId="0" fillId="36" borderId="37" xfId="0" applyFill="1" applyBorder="1" applyAlignment="1">
      <alignment horizontal="right"/>
    </xf>
    <xf numFmtId="2" fontId="0" fillId="36" borderId="38" xfId="0" applyNumberFormat="1" applyFill="1" applyBorder="1" applyAlignment="1">
      <alignment horizontal="center"/>
    </xf>
    <xf numFmtId="0" fontId="0" fillId="36" borderId="39" xfId="0" applyFill="1" applyBorder="1" applyAlignment="1">
      <alignment/>
    </xf>
    <xf numFmtId="0" fontId="0" fillId="36" borderId="0" xfId="0" applyFill="1" applyBorder="1" applyAlignment="1">
      <alignment horizontal="left"/>
    </xf>
    <xf numFmtId="14" fontId="0" fillId="36" borderId="0" xfId="0" applyNumberFormat="1" applyFont="1" applyFill="1" applyAlignment="1">
      <alignment horizontal="center"/>
    </xf>
    <xf numFmtId="0" fontId="0" fillId="36" borderId="0" xfId="0" applyFill="1" applyAlignment="1">
      <alignment horizontal="left"/>
    </xf>
    <xf numFmtId="0" fontId="0" fillId="36" borderId="0" xfId="0" applyFill="1" applyAlignment="1" applyProtection="1">
      <alignment/>
      <protection locked="0"/>
    </xf>
    <xf numFmtId="0" fontId="1" fillId="36" borderId="0" xfId="0" applyFont="1" applyFill="1" applyAlignment="1">
      <alignment horizontal="left"/>
    </xf>
    <xf numFmtId="0" fontId="1" fillId="36" borderId="24" xfId="0" applyFont="1" applyFill="1" applyBorder="1" applyAlignment="1">
      <alignment horizontal="center"/>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28" xfId="0" applyFont="1" applyFill="1" applyBorder="1" applyAlignment="1">
      <alignment horizontal="center"/>
    </xf>
    <xf numFmtId="0" fontId="0" fillId="36" borderId="27" xfId="0" applyFill="1" applyBorder="1" applyAlignment="1">
      <alignment horizontal="center"/>
    </xf>
    <xf numFmtId="0" fontId="0" fillId="36" borderId="29" xfId="0" applyFill="1" applyBorder="1" applyAlignment="1">
      <alignment horizontal="center"/>
    </xf>
    <xf numFmtId="0" fontId="0" fillId="37" borderId="10" xfId="0" applyFill="1" applyBorder="1" applyAlignment="1" applyProtection="1">
      <alignment horizontal="center"/>
      <protection/>
    </xf>
    <xf numFmtId="0" fontId="0" fillId="36"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indexed="10"/>
        </patternFill>
      </fill>
    </dxf>
    <dxf>
      <fill>
        <patternFill>
          <bgColor indexed="10"/>
        </patternFill>
      </fill>
    </dxf>
    <dxf>
      <font>
        <color indexed="9"/>
      </font>
      <fill>
        <patternFill>
          <bgColor indexed="9"/>
        </patternFill>
      </fill>
      <border>
        <left/>
        <right/>
        <top/>
        <bottom/>
      </border>
    </dxf>
    <dxf>
      <fill>
        <patternFill>
          <bgColor indexed="10"/>
        </patternFill>
      </fill>
    </dxf>
    <dxf>
      <font>
        <color indexed="9"/>
      </font>
      <fill>
        <patternFill>
          <bgColor indexed="9"/>
        </patternFill>
      </fill>
      <border>
        <left>
          <color indexed="63"/>
        </left>
        <right>
          <color indexed="63"/>
        </right>
        <top style="thin"/>
        <bottom>
          <color indexed="63"/>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10"/>
        </patternFill>
      </fill>
    </dxf>
    <dxf>
      <font>
        <color rgb="FFFFFFFF"/>
      </font>
      <fill>
        <patternFill>
          <bgColor rgb="FFFFFFFF"/>
        </patternFill>
      </fill>
      <border>
        <left>
          <color rgb="FF000000"/>
        </left>
        <right>
          <color rgb="FF000000"/>
        </right>
        <top style="thin">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a:t>
            </a:r>
            <a:r>
              <a:rPr lang="en-US" cap="none" sz="1125" b="1" i="0" u="none" baseline="-25000">
                <a:solidFill>
                  <a:srgbClr val="000000"/>
                </a:solidFill>
                <a:latin typeface="Arial"/>
                <a:ea typeface="Arial"/>
                <a:cs typeface="Arial"/>
              </a:rPr>
              <a:t>DS</a:t>
            </a:r>
            <a:r>
              <a:rPr lang="en-US" cap="none" sz="1125" b="1" i="0" u="none" baseline="0">
                <a:solidFill>
                  <a:srgbClr val="000000"/>
                </a:solidFill>
                <a:latin typeface="Arial"/>
                <a:ea typeface="Arial"/>
                <a:cs typeface="Arial"/>
              </a:rPr>
              <a:t> vs. V</a:t>
            </a:r>
            <a:r>
              <a:rPr lang="en-US" cap="none" sz="1125" b="1" i="0" u="none" baseline="-25000">
                <a:solidFill>
                  <a:srgbClr val="000000"/>
                </a:solidFill>
                <a:latin typeface="Arial"/>
                <a:ea typeface="Arial"/>
                <a:cs typeface="Arial"/>
              </a:rPr>
              <a:t>DS</a:t>
            </a:r>
            <a:r>
              <a:rPr lang="en-US" cap="none" sz="1125" b="1" i="0" u="none" baseline="0">
                <a:solidFill>
                  <a:srgbClr val="000000"/>
                </a:solidFill>
                <a:latin typeface="Arial"/>
                <a:ea typeface="Arial"/>
                <a:cs typeface="Arial"/>
              </a:rPr>
              <a:t> and SOA</a:t>
            </a:r>
          </a:p>
        </c:rich>
      </c:tx>
      <c:layout>
        <c:manualLayout>
          <c:xMode val="factor"/>
          <c:yMode val="factor"/>
          <c:x val="0.00775"/>
          <c:y val="0"/>
        </c:manualLayout>
      </c:layout>
      <c:spPr>
        <a:noFill/>
        <a:ln>
          <a:noFill/>
        </a:ln>
      </c:spPr>
    </c:title>
    <c:plotArea>
      <c:layout>
        <c:manualLayout>
          <c:xMode val="edge"/>
          <c:yMode val="edge"/>
          <c:x val="0.069"/>
          <c:y val="0.152"/>
          <c:w val="0.78575"/>
          <c:h val="0.75025"/>
        </c:manualLayout>
      </c:layout>
      <c:scatterChart>
        <c:scatterStyle val="lineMarker"/>
        <c:varyColors val="0"/>
        <c:ser>
          <c:idx val="3"/>
          <c:order val="0"/>
          <c:tx>
            <c:v>SOA</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Calculations!$AG$113:$AG$132</c:f>
            </c:numRef>
          </c:yVal>
          <c:smooth val="0"/>
        </c:ser>
        <c:ser>
          <c:idx val="2"/>
          <c:order val="1"/>
          <c:tx>
            <c:v>Max</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Calculations!$AF$113:$AF$132</c:f>
            </c:numRef>
          </c:yVal>
          <c:smooth val="0"/>
        </c:ser>
        <c:ser>
          <c:idx val="1"/>
          <c:order val="2"/>
          <c:tx>
            <c:v>Typ</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Calculations!$AE$113:$AE$132</c:f>
            </c:numRef>
          </c:yVal>
          <c:smooth val="0"/>
        </c:ser>
        <c:ser>
          <c:idx val="0"/>
          <c:order val="3"/>
          <c:tx>
            <c:v>Min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Calculations!$AD$113:$AD$132</c:f>
            </c:numRef>
          </c:yVal>
          <c:smooth val="0"/>
        </c:ser>
        <c:axId val="17103438"/>
        <c:axId val="19713215"/>
      </c:scatterChart>
      <c:valAx>
        <c:axId val="17103438"/>
        <c:scaling>
          <c:logBase val="10"/>
          <c:orientation val="minMax"/>
          <c:max val="100"/>
          <c:min val="1"/>
        </c:scaling>
        <c:axPos val="b"/>
        <c:title>
          <c:tx>
            <c:rich>
              <a:bodyPr vert="horz" rot="0" anchor="ctr"/>
              <a:lstStyle/>
              <a:p>
                <a:pPr algn="ctr">
                  <a:defRPr/>
                </a:pPr>
                <a:r>
                  <a:rPr lang="en-US" cap="none" sz="900" b="1" i="0" u="none" baseline="0">
                    <a:solidFill>
                      <a:srgbClr val="000000"/>
                    </a:solidFill>
                    <a:latin typeface="Arial"/>
                    <a:ea typeface="Arial"/>
                    <a:cs typeface="Arial"/>
                  </a:rPr>
                  <a:t>V</a:t>
                </a:r>
                <a:r>
                  <a:rPr lang="en-US" cap="none" sz="900" b="1" i="0" u="none" baseline="-25000">
                    <a:solidFill>
                      <a:srgbClr val="000000"/>
                    </a:solidFill>
                    <a:latin typeface="Arial"/>
                    <a:ea typeface="Arial"/>
                    <a:cs typeface="Arial"/>
                  </a:rPr>
                  <a:t>DS</a:t>
                </a:r>
                <a:r>
                  <a:rPr lang="en-US" cap="none" sz="900" b="1" i="0" u="none" baseline="0">
                    <a:solidFill>
                      <a:srgbClr val="000000"/>
                    </a:solidFill>
                    <a:latin typeface="Arial"/>
                    <a:ea typeface="Arial"/>
                    <a:cs typeface="Arial"/>
                  </a:rPr>
                  <a:t> (V)</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13215"/>
        <c:crossesAt val="0.1"/>
        <c:crossBetween val="midCat"/>
        <c:dispUnits/>
      </c:valAx>
      <c:valAx>
        <c:axId val="19713215"/>
        <c:scaling>
          <c:logBase val="10"/>
          <c:orientation val="minMax"/>
          <c:max val="100"/>
          <c:min val="0.1"/>
        </c:scaling>
        <c:axPos val="l"/>
        <c:title>
          <c:tx>
            <c:rich>
              <a:bodyPr vert="horz" rot="-5400000" anchor="ctr"/>
              <a:lstStyle/>
              <a:p>
                <a:pPr algn="ctr">
                  <a:defRPr/>
                </a:pPr>
                <a:r>
                  <a:rPr lang="en-US" cap="none" sz="900" b="1" i="0" u="none" baseline="0">
                    <a:solidFill>
                      <a:srgbClr val="000000"/>
                    </a:solidFill>
                    <a:latin typeface="Arial"/>
                    <a:ea typeface="Arial"/>
                    <a:cs typeface="Arial"/>
                  </a:rPr>
                  <a:t>I</a:t>
                </a:r>
                <a:r>
                  <a:rPr lang="en-US" cap="none" sz="900" b="1" i="0" u="none" baseline="-25000">
                    <a:solidFill>
                      <a:srgbClr val="000000"/>
                    </a:solidFill>
                    <a:latin typeface="Arial"/>
                    <a:ea typeface="Arial"/>
                    <a:cs typeface="Arial"/>
                  </a:rPr>
                  <a:t>DS</a:t>
                </a:r>
                <a:r>
                  <a:rPr lang="en-US" cap="none" sz="900" b="1" i="0" u="none" baseline="0">
                    <a:solidFill>
                      <a:srgbClr val="000000"/>
                    </a:solidFill>
                    <a:latin typeface="Arial"/>
                    <a:ea typeface="Arial"/>
                    <a:cs typeface="Arial"/>
                  </a:rPr>
                  <a:t> (A)</a:t>
                </a:r>
              </a:p>
            </c:rich>
          </c:tx>
          <c:layout>
            <c:manualLayout>
              <c:xMode val="factor"/>
              <c:yMode val="factor"/>
              <c:x val="-0.014"/>
              <c:y val="-0.003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103438"/>
        <c:crosses val="autoZero"/>
        <c:crossBetween val="midCat"/>
        <c:dispUnits/>
      </c:valAx>
      <c:spPr>
        <a:solidFill>
          <a:srgbClr val="FFFFFF"/>
        </a:solidFill>
        <a:ln w="12700">
          <a:solidFill>
            <a:srgbClr val="808080"/>
          </a:solidFill>
        </a:ln>
      </c:spPr>
    </c:plotArea>
    <c:legend>
      <c:legendPos val="r"/>
      <c:layout>
        <c:manualLayout>
          <c:xMode val="edge"/>
          <c:yMode val="edge"/>
          <c:x val="0.8755"/>
          <c:y val="0.39125"/>
          <c:w val="0.115"/>
          <c:h val="0.2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25400">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95250</xdr:rowOff>
    </xdr:from>
    <xdr:to>
      <xdr:col>14</xdr:col>
      <xdr:colOff>304800</xdr:colOff>
      <xdr:row>11</xdr:row>
      <xdr:rowOff>133350</xdr:rowOff>
    </xdr:to>
    <xdr:sp>
      <xdr:nvSpPr>
        <xdr:cNvPr id="1" name="Text Box 1"/>
        <xdr:cNvSpPr txBox="1">
          <a:spLocks noChangeArrowheads="1"/>
        </xdr:cNvSpPr>
      </xdr:nvSpPr>
      <xdr:spPr>
        <a:xfrm>
          <a:off x="609600" y="1457325"/>
          <a:ext cx="8229600" cy="5238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values in the blue shaded cells to define the system parameters. If a particular specification is not known, enter an estimate. It can be changed later, if necessary, to optimize component values.</a:t>
          </a:r>
        </a:p>
      </xdr:txBody>
    </xdr:sp>
    <xdr:clientData/>
  </xdr:twoCellAnchor>
  <xdr:twoCellAnchor>
    <xdr:from>
      <xdr:col>1</xdr:col>
      <xdr:colOff>0</xdr:colOff>
      <xdr:row>12</xdr:row>
      <xdr:rowOff>47625</xdr:rowOff>
    </xdr:from>
    <xdr:to>
      <xdr:col>14</xdr:col>
      <xdr:colOff>304800</xdr:colOff>
      <xdr:row>24</xdr:row>
      <xdr:rowOff>66675</xdr:rowOff>
    </xdr:to>
    <xdr:sp>
      <xdr:nvSpPr>
        <xdr:cNvPr id="2" name="Text Box 2"/>
        <xdr:cNvSpPr txBox="1">
          <a:spLocks noChangeArrowheads="1"/>
        </xdr:cNvSpPr>
      </xdr:nvSpPr>
      <xdr:spPr>
        <a:xfrm>
          <a:off x="609600" y="2057400"/>
          <a:ext cx="8229600" cy="1962150"/>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2. Current Limit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based on the maximum load current in Step 1, and the minimum current limit threshold voltage specification.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value selected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&gt;200 mohms, the cell becomes highlighted red. If the required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must be greater than 200 mohms instability </a:t>
          </a:r>
          <a:r>
            <a:rPr lang="en-US" cap="none" sz="1000" b="0" i="0" u="sng" baseline="0">
              <a:solidFill>
                <a:srgbClr val="000000"/>
              </a:solidFill>
              <a:latin typeface="Arial"/>
              <a:ea typeface="Arial"/>
              <a:cs typeface="Arial"/>
            </a:rPr>
            <a:t>may</a:t>
          </a:r>
          <a:r>
            <a:rPr lang="en-US" cap="none" sz="1000" b="0" i="0" u="none" baseline="0">
              <a:solidFill>
                <a:srgbClr val="000000"/>
              </a:solidFill>
              <a:latin typeface="Arial"/>
              <a:ea typeface="Arial"/>
              <a:cs typeface="Arial"/>
            </a:rPr>
            <a:t> result during current limit and/or power limit. In this case add a series RC from the GATE pin to ground to increase the loop stability. Recommended initial values for the added RC are 1kohms and 0.01 uF.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minimum, typical, and maximum current limit values are calculated and displayed based on the data sheet specifications for the current limit threshold voltage, and the selected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The resistor's tolerance is not included in the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Ensure the selected resistor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rated for the indicated power dissipation.</a:t>
          </a:r>
        </a:p>
      </xdr:txBody>
    </xdr:sp>
    <xdr:clientData/>
  </xdr:twoCellAnchor>
  <xdr:twoCellAnchor>
    <xdr:from>
      <xdr:col>1</xdr:col>
      <xdr:colOff>0</xdr:colOff>
      <xdr:row>25</xdr:row>
      <xdr:rowOff>57150</xdr:rowOff>
    </xdr:from>
    <xdr:to>
      <xdr:col>14</xdr:col>
      <xdr:colOff>304800</xdr:colOff>
      <xdr:row>35</xdr:row>
      <xdr:rowOff>66675</xdr:rowOff>
    </xdr:to>
    <xdr:sp>
      <xdr:nvSpPr>
        <xdr:cNvPr id="3" name="Text Box 3"/>
        <xdr:cNvSpPr txBox="1">
          <a:spLocks noChangeArrowheads="1"/>
        </xdr:cNvSpPr>
      </xdr:nvSpPr>
      <xdr:spPr>
        <a:xfrm>
          <a:off x="609600" y="4171950"/>
          <a:ext cx="8229600" cy="16287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3. Power Limit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desired maximum FET power limit should be selected using the FET's SOA chart in its datasheet. A comfortable margin is recommended from the chart's DC line since the FET is stressed at each turn-on and turn-off.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minimum, typical, and maximum power limit values are calculated and displayed based on the data sheet tolerances for the power limit sense voltage, and the selected value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The resistor's tolerance is not included in these calculations. 
</a:t>
          </a:r>
          <a:r>
            <a:rPr lang="en-US" cap="none" sz="1000" b="0" i="0" u="none" baseline="0">
              <a:solidFill>
                <a:srgbClr val="000000"/>
              </a:solidFill>
              <a:latin typeface="Arial"/>
              <a:ea typeface="Arial"/>
              <a:cs typeface="Arial"/>
            </a:rPr>
            <a:t>Values in excess of 150 kohms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result in little or no power limiting. The FET's power dissipation is then determined by the system voltage and the current limit.
</a:t>
          </a:r>
          <a:r>
            <a:rPr lang="en-US" cap="none" sz="1000" b="0" i="0" u="none" baseline="0">
              <a:solidFill>
                <a:srgbClr val="000000"/>
              </a:solidFill>
              <a:latin typeface="Arial"/>
              <a:ea typeface="Arial"/>
              <a:cs typeface="Arial"/>
            </a:rPr>
            <a:t>If the power limit function is not used enter 1000 for the selected value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and leave the PWR pin open.</a:t>
          </a:r>
        </a:p>
      </xdr:txBody>
    </xdr:sp>
    <xdr:clientData/>
  </xdr:twoCellAnchor>
  <xdr:twoCellAnchor>
    <xdr:from>
      <xdr:col>1</xdr:col>
      <xdr:colOff>0</xdr:colOff>
      <xdr:row>36</xdr:row>
      <xdr:rowOff>28575</xdr:rowOff>
    </xdr:from>
    <xdr:to>
      <xdr:col>14</xdr:col>
      <xdr:colOff>304800</xdr:colOff>
      <xdr:row>49</xdr:row>
      <xdr:rowOff>142875</xdr:rowOff>
    </xdr:to>
    <xdr:sp>
      <xdr:nvSpPr>
        <xdr:cNvPr id="4" name="Text Box 4"/>
        <xdr:cNvSpPr txBox="1">
          <a:spLocks noChangeArrowheads="1"/>
        </xdr:cNvSpPr>
      </xdr:nvSpPr>
      <xdr:spPr>
        <a:xfrm>
          <a:off x="609600" y="5924550"/>
          <a:ext cx="8229600" cy="221932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4. Timer Setting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turn-on-time is the time for the output voltage to reach its final value (</a:t>
          </a:r>
          <a:r>
            <a:rPr lang="en-US" cap="none" sz="1000" b="0" i="0" u="none" baseline="0">
              <a:solidFill>
                <a:srgbClr val="000000"/>
              </a:solidFill>
              <a:latin typeface="Symbol"/>
              <a:ea typeface="Symbol"/>
              <a:cs typeface="Symbol"/>
            </a:rPr>
            <a:t>@</a:t>
          </a:r>
          <a:r>
            <a:rPr lang="en-US" cap="none" sz="1000" b="0" i="0" u="none" baseline="0">
              <a:solidFill>
                <a:srgbClr val="000000"/>
              </a:solidFill>
              <a:latin typeface="Arial"/>
              <a:ea typeface="Arial"/>
              <a:cs typeface="Arial"/>
            </a:rPr>
            <a:t>V</a:t>
          </a:r>
          <a:r>
            <a:rPr lang="en-US" cap="none" sz="1000" b="0" i="0" u="none" baseline="-25000">
              <a:solidFill>
                <a:srgbClr val="000000"/>
              </a:solidFill>
              <a:latin typeface="Arial"/>
              <a:ea typeface="Arial"/>
              <a:cs typeface="Arial"/>
            </a:rPr>
            <a:t>IN</a:t>
          </a:r>
          <a:r>
            <a:rPr lang="en-US" cap="none" sz="1000" b="0" i="0" u="none" baseline="0">
              <a:solidFill>
                <a:srgbClr val="000000"/>
              </a:solidFill>
              <a:latin typeface="Arial"/>
              <a:ea typeface="Arial"/>
              <a:cs typeface="Arial"/>
            </a:rPr>
            <a:t>).The estimated turn-on-time is calculated using the maximum system voltage and the load capacitance listed in Step 1, the minimum current limit value in Step 2, and the minimum FET power limit in Step 3 to calculate a worst case maximum turn-on time. HOWEVER, this calculation assumes the load draws no current until the turn-on time is complete. If the load does draw current during the turn-on sequence, the turn-on time will be longer than this calculation. The turn-on time for each application MUST be verified since </a:t>
          </a:r>
          <a:r>
            <a:rPr lang="en-US" cap="none" sz="1000" b="1" i="0" u="none" baseline="0">
              <a:solidFill>
                <a:srgbClr val="000000"/>
              </a:solidFill>
              <a:latin typeface="Arial"/>
              <a:ea typeface="Arial"/>
              <a:cs typeface="Arial"/>
            </a:rPr>
            <a:t>the Fault Timeout Period MUST be longer than the turn-on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recommended value for C</a:t>
          </a:r>
          <a:r>
            <a:rPr lang="en-US" cap="none" sz="1000" b="0" i="0" u="none" baseline="-25000">
              <a:solidFill>
                <a:srgbClr val="000000"/>
              </a:solidFill>
              <a:latin typeface="Arial"/>
              <a:ea typeface="Arial"/>
              <a:cs typeface="Arial"/>
            </a:rPr>
            <a:t>T</a:t>
          </a:r>
          <a:r>
            <a:rPr lang="en-US" cap="none" sz="1000" b="0" i="0" u="none" baseline="0">
              <a:solidFill>
                <a:srgbClr val="000000"/>
              </a:solidFill>
              <a:latin typeface="Arial"/>
              <a:ea typeface="Arial"/>
              <a:cs typeface="Arial"/>
            </a:rPr>
            <a:t> is calculated to provide a Fault Timeout Period longer than the turn-on time calculation above. C</a:t>
          </a:r>
          <a:r>
            <a:rPr lang="en-US" cap="none" sz="1000" b="0" i="0" u="none" baseline="-25000">
              <a:solidFill>
                <a:srgbClr val="000000"/>
              </a:solidFill>
              <a:latin typeface="Arial"/>
              <a:ea typeface="Arial"/>
              <a:cs typeface="Arial"/>
            </a:rPr>
            <a:t>T</a:t>
          </a:r>
          <a:r>
            <a:rPr lang="en-US" cap="none" sz="1000" b="0" i="0" u="none" baseline="0">
              <a:solidFill>
                <a:srgbClr val="000000"/>
              </a:solidFill>
              <a:latin typeface="Arial"/>
              <a:ea typeface="Arial"/>
              <a:cs typeface="Arial"/>
            </a:rPr>
            <a:t> is calculated using the appropriate minimum and maximum specifications for the TIMER pin. In addition, a 10% margin is added.</a:t>
          </a:r>
          <a:r>
            <a:rPr lang="en-US" cap="none" sz="1000" b="1" i="0" u="none" baseline="0">
              <a:solidFill>
                <a:srgbClr val="000000"/>
              </a:solidFill>
              <a:latin typeface="Arial"/>
              <a:ea typeface="Arial"/>
              <a:cs typeface="Arial"/>
            </a:rPr>
            <a:t> The Fault Timeout Period MUST be longer than the turn-on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calculated restart time appllies only to the LM25069-2. The indicated time is the interval between restart attempts after a fault detection and fault timeout.</a:t>
          </a:r>
        </a:p>
      </xdr:txBody>
    </xdr:sp>
    <xdr:clientData/>
  </xdr:twoCellAnchor>
  <xdr:twoCellAnchor>
    <xdr:from>
      <xdr:col>1</xdr:col>
      <xdr:colOff>0</xdr:colOff>
      <xdr:row>50</xdr:row>
      <xdr:rowOff>123825</xdr:rowOff>
    </xdr:from>
    <xdr:to>
      <xdr:col>14</xdr:col>
      <xdr:colOff>304800</xdr:colOff>
      <xdr:row>70</xdr:row>
      <xdr:rowOff>142875</xdr:rowOff>
    </xdr:to>
    <xdr:sp>
      <xdr:nvSpPr>
        <xdr:cNvPr id="5" name="Text Box 5"/>
        <xdr:cNvSpPr txBox="1">
          <a:spLocks noChangeArrowheads="1"/>
        </xdr:cNvSpPr>
      </xdr:nvSpPr>
      <xdr:spPr>
        <a:xfrm>
          <a:off x="609600" y="8286750"/>
          <a:ext cx="8229600" cy="32670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5. UVLO and OVLO Thresholds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external FET (Q1) is enabled when the system voltage is between the UVLO and the OVLO thresholds. Hysteresis is provided for each threshold.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First select Option A or Option B using the pulldown menu (refer to the schematics). 
</a:t>
          </a:r>
          <a:r>
            <a:rPr lang="en-US" cap="none" sz="1000" b="0" i="0" u="none" baseline="0">
              <a:solidFill>
                <a:srgbClr val="000000"/>
              </a:solidFill>
              <a:latin typeface="Arial"/>
              <a:ea typeface="Arial"/>
              <a:cs typeface="Arial"/>
            </a:rPr>
            <a:t>     - Option A requires 3 resistors (R1, R2, R3), and allows the user to specify the upper and lower UVLO thresholds, and the upper OVLO 
</a:t>
          </a:r>
          <a:r>
            <a:rPr lang="en-US" cap="none" sz="1000" b="0" i="0" u="none" baseline="0">
              <a:solidFill>
                <a:srgbClr val="000000"/>
              </a:solidFill>
              <a:latin typeface="Arial"/>
              <a:ea typeface="Arial"/>
              <a:cs typeface="Arial"/>
            </a:rPr>
            <a:t>       threshold. The lower OVLO threshold is calculated after the three resistor values are determined.
</a:t>
          </a:r>
          <a:r>
            <a:rPr lang="en-US" cap="none" sz="1000" b="0" i="0" u="none" baseline="0">
              <a:solidFill>
                <a:srgbClr val="000000"/>
              </a:solidFill>
              <a:latin typeface="Arial"/>
              <a:ea typeface="Arial"/>
              <a:cs typeface="Arial"/>
            </a:rPr>
            <a:t>     - Option B requires 4 resistors (R1 through R4), and allows the user to specify the four thresholds.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desired values for the three (or four) thresholds. Guidelines are provided in the comments for each cell.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Recommended values for R1 through R3, or R1 through R4, are displayed. Then select and enter values for the resistors from standard available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thresholds (minimum, typical, maximum) are displayed based on the selected resistor values, and the LM25069 minimum, typical, and maximum specifications for the UVLO and OVLO pins. If any of the calculated values is outside the allowable range of 2.9V to 17V the cell is highlighted red, and the selected resistors must be changed. Resistor tolerances are not included in the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Option C (see the schematic) provides the minimum possible UVLO threshold (2.9V) by connecting the UVLO pin directly to the VIN pin. In this case use Option B to calculate values for R3 and R4 to set the OVLO thresholds, ignoring entries for R1, R2, and the UVLO thresholds.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71</xdr:row>
      <xdr:rowOff>104775</xdr:rowOff>
    </xdr:from>
    <xdr:to>
      <xdr:col>14</xdr:col>
      <xdr:colOff>304800</xdr:colOff>
      <xdr:row>76</xdr:row>
      <xdr:rowOff>85725</xdr:rowOff>
    </xdr:to>
    <xdr:sp>
      <xdr:nvSpPr>
        <xdr:cNvPr id="6" name="Text Box 6"/>
        <xdr:cNvSpPr txBox="1">
          <a:spLocks noChangeArrowheads="1"/>
        </xdr:cNvSpPr>
      </xdr:nvSpPr>
      <xdr:spPr>
        <a:xfrm>
          <a:off x="609600" y="11677650"/>
          <a:ext cx="8229600" cy="7905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6. PGD Output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PGD output switches when the output voltage increases to within 1.3V of the input voltage, with 0.6V hysteresis provided. The pull-up resistor at the PGD pin (R</a:t>
          </a:r>
          <a:r>
            <a:rPr lang="en-US" cap="none" sz="1000" b="0" i="0" u="none" baseline="-25000">
              <a:solidFill>
                <a:srgbClr val="000000"/>
              </a:solidFill>
              <a:latin typeface="Arial"/>
              <a:ea typeface="Arial"/>
              <a:cs typeface="Arial"/>
            </a:rPr>
            <a:t>PG</a:t>
          </a:r>
          <a:r>
            <a:rPr lang="en-US" cap="none" sz="1000" b="0" i="0" u="none" baseline="0">
              <a:solidFill>
                <a:srgbClr val="000000"/>
              </a:solidFill>
              <a:latin typeface="Arial"/>
              <a:ea typeface="Arial"/>
              <a:cs typeface="Arial"/>
            </a:rPr>
            <a:t>) can be any value which limits the current into the PGD pin to less than 30 mA when PGD is low. The pullup voltage (V</a:t>
          </a:r>
          <a:r>
            <a:rPr lang="en-US" cap="none" sz="1000" b="0" i="0" u="none" baseline="-25000">
              <a:solidFill>
                <a:srgbClr val="000000"/>
              </a:solidFill>
              <a:latin typeface="Arial"/>
              <a:ea typeface="Arial"/>
              <a:cs typeface="Arial"/>
            </a:rPr>
            <a:t>PGD</a:t>
          </a:r>
          <a:r>
            <a:rPr lang="en-US" cap="none" sz="1000" b="0" i="0" u="none" baseline="0">
              <a:solidFill>
                <a:srgbClr val="000000"/>
              </a:solidFill>
              <a:latin typeface="Arial"/>
              <a:ea typeface="Arial"/>
              <a:cs typeface="Arial"/>
            </a:rPr>
            <a:t>) can be any suitable voltage up to 17V.</a:t>
          </a:r>
        </a:p>
      </xdr:txBody>
    </xdr:sp>
    <xdr:clientData/>
  </xdr:twoCellAnchor>
  <xdr:twoCellAnchor>
    <xdr:from>
      <xdr:col>1</xdr:col>
      <xdr:colOff>0</xdr:colOff>
      <xdr:row>77</xdr:row>
      <xdr:rowOff>38100</xdr:rowOff>
    </xdr:from>
    <xdr:to>
      <xdr:col>14</xdr:col>
      <xdr:colOff>304800</xdr:colOff>
      <xdr:row>79</xdr:row>
      <xdr:rowOff>95250</xdr:rowOff>
    </xdr:to>
    <xdr:sp>
      <xdr:nvSpPr>
        <xdr:cNvPr id="7" name="Text Box 7"/>
        <xdr:cNvSpPr txBox="1">
          <a:spLocks noChangeArrowheads="1"/>
        </xdr:cNvSpPr>
      </xdr:nvSpPr>
      <xdr:spPr>
        <a:xfrm>
          <a:off x="609600" y="12582525"/>
          <a:ext cx="8229600" cy="381000"/>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7. Summary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lists all the component values determined in steps 2 through 6.</a:t>
          </a:r>
        </a:p>
      </xdr:txBody>
    </xdr:sp>
    <xdr:clientData/>
  </xdr:twoCellAnchor>
  <xdr:twoCellAnchor>
    <xdr:from>
      <xdr:col>1</xdr:col>
      <xdr:colOff>0</xdr:colOff>
      <xdr:row>80</xdr:row>
      <xdr:rowOff>19050</xdr:rowOff>
    </xdr:from>
    <xdr:to>
      <xdr:col>14</xdr:col>
      <xdr:colOff>304800</xdr:colOff>
      <xdr:row>86</xdr:row>
      <xdr:rowOff>28575</xdr:rowOff>
    </xdr:to>
    <xdr:sp>
      <xdr:nvSpPr>
        <xdr:cNvPr id="8" name="Text Box 9"/>
        <xdr:cNvSpPr txBox="1">
          <a:spLocks noChangeArrowheads="1"/>
        </xdr:cNvSpPr>
      </xdr:nvSpPr>
      <xdr:spPr>
        <a:xfrm>
          <a:off x="609600" y="13049250"/>
          <a:ext cx="8229600" cy="9810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8. Create a Comparison SOA Chart (Optional)
</a:t>
          </a:r>
          <a:r>
            <a:rPr lang="en-US" cap="none" sz="1000" b="0" i="0" u="none" baseline="0">
              <a:solidFill>
                <a:srgbClr val="000000"/>
              </a:solidFill>
              <a:latin typeface="Arial"/>
              <a:ea typeface="Arial"/>
              <a:cs typeface="Arial"/>
            </a:rPr>
            <a:t>The chart displays the maximum current allowed in Q1 (Min, Typ, Max), based on the LM25069 current limit and power limit functions, and compares it to the maximum current allowed based on the FET's SOA chart. To create the SOA (green) curve enter the I</a:t>
          </a:r>
          <a:r>
            <a:rPr lang="en-US" cap="none" sz="1000" b="0" i="0" u="none" baseline="-25000">
              <a:solidFill>
                <a:srgbClr val="000000"/>
              </a:solidFill>
              <a:latin typeface="Arial"/>
              <a:ea typeface="Arial"/>
              <a:cs typeface="Arial"/>
            </a:rPr>
            <a:t>DS</a:t>
          </a:r>
          <a:r>
            <a:rPr lang="en-US" cap="none" sz="1000" b="0" i="0" u="none" baseline="0">
              <a:solidFill>
                <a:srgbClr val="000000"/>
              </a:solidFill>
              <a:latin typeface="Arial"/>
              <a:ea typeface="Arial"/>
              <a:cs typeface="Arial"/>
            </a:rPr>
            <a:t> data, from the FET's datasheet, in the table to the right of the chart for V</a:t>
          </a:r>
          <a:r>
            <a:rPr lang="en-US" cap="none" sz="1000" b="0" i="0" u="none" baseline="-25000">
              <a:solidFill>
                <a:srgbClr val="000000"/>
              </a:solidFill>
              <a:latin typeface="Arial"/>
              <a:ea typeface="Arial"/>
              <a:cs typeface="Arial"/>
            </a:rPr>
            <a:t>DS</a:t>
          </a:r>
          <a:r>
            <a:rPr lang="en-US" cap="none" sz="1000" b="0" i="0" u="none" baseline="0">
              <a:solidFill>
                <a:srgbClr val="000000"/>
              </a:solidFill>
              <a:latin typeface="Arial"/>
              <a:ea typeface="Arial"/>
              <a:cs typeface="Arial"/>
            </a:rPr>
            <a:t> values of 1, 5, 10, 15 and 20 Volts.
</a:t>
          </a:r>
          <a:r>
            <a:rPr lang="en-US" cap="none" sz="1000" b="0" i="0" u="none" baseline="0">
              <a:solidFill>
                <a:srgbClr val="000000"/>
              </a:solidFill>
              <a:latin typeface="Arial"/>
              <a:ea typeface="Arial"/>
              <a:cs typeface="Arial"/>
            </a:rPr>
            <a:t>The chart provides a quick visual check to determine if the power limit level set in Step 3 is corrrect for the selected FET.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57150</xdr:rowOff>
    </xdr:from>
    <xdr:to>
      <xdr:col>5</xdr:col>
      <xdr:colOff>781050</xdr:colOff>
      <xdr:row>7</xdr:row>
      <xdr:rowOff>76200</xdr:rowOff>
    </xdr:to>
    <xdr:sp>
      <xdr:nvSpPr>
        <xdr:cNvPr id="1" name="Text Box 1"/>
        <xdr:cNvSpPr txBox="1">
          <a:spLocks noChangeArrowheads="1"/>
        </xdr:cNvSpPr>
      </xdr:nvSpPr>
      <xdr:spPr>
        <a:xfrm>
          <a:off x="304800" y="447675"/>
          <a:ext cx="5781675" cy="828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0000"/>
              </a:solidFill>
              <a:latin typeface="Arial"/>
              <a:ea typeface="Arial"/>
              <a:cs typeface="Arial"/>
            </a:rPr>
            <a:t>Note:  The components calculated in this worksheet are reasonable starting values for a design using the LM25069 Hot Swap Controller.  They are not optimized for any particular performance attribute. Tolerances of the external components are not included in the calculations. See the Instructions worksheet for additional information.</a:t>
          </a:r>
        </a:p>
      </xdr:txBody>
    </xdr:sp>
    <xdr:clientData/>
  </xdr:twoCellAnchor>
  <xdr:twoCellAnchor>
    <xdr:from>
      <xdr:col>22</xdr:col>
      <xdr:colOff>0</xdr:colOff>
      <xdr:row>42</xdr:row>
      <xdr:rowOff>76200</xdr:rowOff>
    </xdr:from>
    <xdr:to>
      <xdr:col>27</xdr:col>
      <xdr:colOff>0</xdr:colOff>
      <xdr:row>60</xdr:row>
      <xdr:rowOff>66675</xdr:rowOff>
    </xdr:to>
    <xdr:sp>
      <xdr:nvSpPr>
        <xdr:cNvPr id="2" name="Text Box 17"/>
        <xdr:cNvSpPr txBox="1">
          <a:spLocks noChangeArrowheads="1"/>
        </xdr:cNvSpPr>
      </xdr:nvSpPr>
      <xdr:spPr>
        <a:xfrm>
          <a:off x="12925425" y="7248525"/>
          <a:ext cx="0" cy="2924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Option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R1 = </a:t>
          </a:r>
          <a:r>
            <a:rPr lang="en-US" cap="none" sz="1000" b="0" i="0" u="sng" baseline="0">
              <a:solidFill>
                <a:srgbClr val="000000"/>
              </a:solidFill>
              <a:latin typeface="Arial"/>
              <a:ea typeface="Arial"/>
              <a:cs typeface="Arial"/>
            </a:rPr>
            <a:t> UVLO</a:t>
          </a:r>
          <a:r>
            <a:rPr lang="en-US" cap="none" sz="800" b="0" i="0" u="sng" baseline="0">
              <a:solidFill>
                <a:srgbClr val="000000"/>
              </a:solidFill>
              <a:latin typeface="Arial"/>
              <a:ea typeface="Arial"/>
              <a:cs typeface="Arial"/>
            </a:rPr>
            <a:t>(upper)</a:t>
          </a:r>
          <a:r>
            <a:rPr lang="en-US" cap="none" sz="1000" b="0" i="0" u="sng" baseline="0">
              <a:solidFill>
                <a:srgbClr val="000000"/>
              </a:solidFill>
              <a:latin typeface="Arial"/>
              <a:ea typeface="Arial"/>
              <a:cs typeface="Arial"/>
            </a:rPr>
            <a:t> -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R3 = </a:t>
          </a:r>
          <a:r>
            <a:rPr lang="en-US" cap="none" sz="1000" b="0" i="0" u="sng" baseline="0">
              <a:solidFill>
                <a:srgbClr val="000000"/>
              </a:solidFill>
              <a:latin typeface="Arial"/>
              <a:ea typeface="Arial"/>
              <a:cs typeface="Arial"/>
            </a:rPr>
            <a:t>         1.16V x R1 x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x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R2 =  </a:t>
          </a:r>
          <a:r>
            <a:rPr lang="en-US" cap="none" sz="1000" b="0" i="0" u="sng" baseline="0">
              <a:solidFill>
                <a:srgbClr val="000000"/>
              </a:solidFill>
              <a:latin typeface="Arial"/>
              <a:ea typeface="Arial"/>
              <a:cs typeface="Arial"/>
            </a:rPr>
            <a:t>       1.17V  x  R1      </a:t>
          </a:r>
          <a:r>
            <a:rPr lang="en-US" cap="none" sz="1000" b="0" i="0" u="none" baseline="0">
              <a:solidFill>
                <a:srgbClr val="000000"/>
              </a:solidFill>
              <a:latin typeface="Arial"/>
              <a:ea typeface="Arial"/>
              <a:cs typeface="Arial"/>
            </a:rPr>
            <a:t>  -  R3
</a:t>
          </a:r>
          <a:r>
            <a:rPr lang="en-US" cap="none" sz="1000" b="0" i="0" u="none" baseline="0">
              <a:solidFill>
                <a:srgbClr val="000000"/>
              </a:solidFill>
              <a:latin typeface="Arial"/>
              <a:ea typeface="Arial"/>
              <a:cs typeface="Arial"/>
            </a:rPr>
            <a:t>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1.17V + (R1 x  </a:t>
          </a:r>
          <a:r>
            <a:rPr lang="en-US" cap="none" sz="1000" b="0" i="0" u="sng" baseline="0">
              <a:solidFill>
                <a:srgbClr val="000000"/>
              </a:solidFill>
              <a:latin typeface="Arial"/>
              <a:ea typeface="Arial"/>
              <a:cs typeface="Arial"/>
            </a:rPr>
            <a:t>( 1.17V     </a:t>
          </a:r>
          <a:r>
            <a:rPr lang="en-US" cap="none" sz="1000" b="0" i="0" u="none" baseline="0">
              <a:solidFill>
                <a:srgbClr val="000000"/>
              </a:solidFill>
              <a:latin typeface="Arial"/>
              <a:ea typeface="Arial"/>
              <a:cs typeface="Arial"/>
            </a:rPr>
            <a:t> +  20uA)
</a:t>
          </a:r>
          <a:r>
            <a:rPr lang="en-US" cap="none" sz="1000" b="0" i="0" u="none" baseline="0">
              <a:solidFill>
                <a:srgbClr val="000000"/>
              </a:solidFill>
              <a:latin typeface="Arial"/>
              <a:ea typeface="Arial"/>
              <a:cs typeface="Arial"/>
            </a:rPr>
            <a:t>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x </a:t>
          </a:r>
          <a:r>
            <a:rPr lang="en-US" cap="none" sz="1000" b="0" i="0" u="sng" baseline="0">
              <a:solidFill>
                <a:srgbClr val="000000"/>
              </a:solidFill>
              <a:latin typeface="Arial"/>
              <a:ea typeface="Arial"/>
              <a:cs typeface="Arial"/>
            </a:rPr>
            <a:t> (R1 +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1.16V x (R1 +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((R1 + R2) x ((</a:t>
          </a:r>
          <a:r>
            <a:rPr lang="en-US" cap="none" sz="1000" b="0" i="0" u="sng" baseline="0">
              <a:solidFill>
                <a:srgbClr val="000000"/>
              </a:solidFill>
              <a:latin typeface="Arial"/>
              <a:ea typeface="Arial"/>
              <a:cs typeface="Arial"/>
            </a:rPr>
            <a:t> 1.16V)</a:t>
          </a:r>
          <a:r>
            <a:rPr lang="en-US" cap="none" sz="1000" b="0" i="0" u="none" baseline="0">
              <a:solidFill>
                <a:srgbClr val="000000"/>
              </a:solidFill>
              <a:latin typeface="Arial"/>
              <a:ea typeface="Arial"/>
              <a:cs typeface="Arial"/>
            </a:rPr>
            <a:t>  -  20uA)) + 1.16V
</a:t>
          </a:r>
          <a:r>
            <a:rPr lang="en-US" cap="none" sz="1000" b="0" i="0" u="none" baseline="0">
              <a:solidFill>
                <a:srgbClr val="000000"/>
              </a:solidFill>
              <a:latin typeface="Arial"/>
              <a:ea typeface="Arial"/>
              <a:cs typeface="Arial"/>
            </a:rPr>
            <a:t>                                                       R3
</a:t>
          </a:r>
        </a:p>
      </xdr:txBody>
    </xdr:sp>
    <xdr:clientData/>
  </xdr:twoCellAnchor>
  <xdr:twoCellAnchor>
    <xdr:from>
      <xdr:col>21</xdr:col>
      <xdr:colOff>0</xdr:colOff>
      <xdr:row>23</xdr:row>
      <xdr:rowOff>9525</xdr:rowOff>
    </xdr:from>
    <xdr:to>
      <xdr:col>24</xdr:col>
      <xdr:colOff>0</xdr:colOff>
      <xdr:row>27</xdr:row>
      <xdr:rowOff>133350</xdr:rowOff>
    </xdr:to>
    <xdr:sp>
      <xdr:nvSpPr>
        <xdr:cNvPr id="3" name="Text Box 32"/>
        <xdr:cNvSpPr txBox="1">
          <a:spLocks noChangeArrowheads="1"/>
        </xdr:cNvSpPr>
      </xdr:nvSpPr>
      <xdr:spPr>
        <a:xfrm>
          <a:off x="12925425" y="3952875"/>
          <a:ext cx="0" cy="847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Max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45 mV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(Max Load Current x 1.01)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1.01 factor provides 1% margin from the max. normal load current.</a:t>
          </a:r>
        </a:p>
      </xdr:txBody>
    </xdr:sp>
    <xdr:clientData/>
  </xdr:twoCellAnchor>
  <xdr:twoCellAnchor>
    <xdr:from>
      <xdr:col>22</xdr:col>
      <xdr:colOff>0</xdr:colOff>
      <xdr:row>60</xdr:row>
      <xdr:rowOff>95250</xdr:rowOff>
    </xdr:from>
    <xdr:to>
      <xdr:col>27</xdr:col>
      <xdr:colOff>0</xdr:colOff>
      <xdr:row>85</xdr:row>
      <xdr:rowOff>85725</xdr:rowOff>
    </xdr:to>
    <xdr:sp>
      <xdr:nvSpPr>
        <xdr:cNvPr id="4" name="Text Box 45"/>
        <xdr:cNvSpPr txBox="1">
          <a:spLocks noChangeArrowheads="1"/>
        </xdr:cNvSpPr>
      </xdr:nvSpPr>
      <xdr:spPr>
        <a:xfrm>
          <a:off x="12925425" y="10201275"/>
          <a:ext cx="0" cy="4429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Option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R1 = </a:t>
          </a:r>
          <a:r>
            <a:rPr lang="en-US" cap="none" sz="1000" b="0" i="0" u="sng" baseline="0">
              <a:solidFill>
                <a:srgbClr val="000000"/>
              </a:solidFill>
              <a:latin typeface="Arial"/>
              <a:ea typeface="Arial"/>
              <a:cs typeface="Arial"/>
            </a:rPr>
            <a:t> UVLO</a:t>
          </a:r>
          <a:r>
            <a:rPr lang="en-US" cap="none" sz="800" b="0" i="0" u="sng" baseline="0">
              <a:solidFill>
                <a:srgbClr val="000000"/>
              </a:solidFill>
              <a:latin typeface="Arial"/>
              <a:ea typeface="Arial"/>
              <a:cs typeface="Arial"/>
            </a:rPr>
            <a:t>(upper)</a:t>
          </a:r>
          <a:r>
            <a:rPr lang="en-US" cap="none" sz="1000" b="0" i="0" u="sng" baseline="0">
              <a:solidFill>
                <a:srgbClr val="000000"/>
              </a:solidFill>
              <a:latin typeface="Arial"/>
              <a:ea typeface="Arial"/>
              <a:cs typeface="Arial"/>
            </a:rPr>
            <a:t> -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R2 =  </a:t>
          </a:r>
          <a:r>
            <a:rPr lang="en-US" cap="none" sz="1000" b="0" i="0" u="sng" baseline="0">
              <a:solidFill>
                <a:srgbClr val="000000"/>
              </a:solidFill>
              <a:latin typeface="Arial"/>
              <a:ea typeface="Arial"/>
              <a:cs typeface="Arial"/>
            </a:rPr>
            <a:t>       1.17V  x  R1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R3 = </a:t>
          </a:r>
          <a:r>
            <a:rPr lang="en-US" cap="none" sz="1000" b="0" i="0" u="sng" baseline="0">
              <a:solidFill>
                <a:srgbClr val="000000"/>
              </a:solidFill>
              <a:latin typeface="Arial"/>
              <a:ea typeface="Arial"/>
              <a:cs typeface="Arial"/>
            </a:rPr>
            <a:t> OVLO(upper) - OVLO(lower)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R4 =  </a:t>
          </a:r>
          <a:r>
            <a:rPr lang="en-US" cap="none" sz="1000" b="0" i="0" u="sng" baseline="0">
              <a:solidFill>
                <a:srgbClr val="000000"/>
              </a:solidFill>
              <a:latin typeface="Arial"/>
              <a:ea typeface="Arial"/>
              <a:cs typeface="Arial"/>
            </a:rPr>
            <a:t>       1.16V  x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- 1.16V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1.17V + (R1 x  </a:t>
          </a:r>
          <a:r>
            <a:rPr lang="en-US" cap="none" sz="1000" b="0" i="0" u="sng" baseline="0">
              <a:solidFill>
                <a:srgbClr val="000000"/>
              </a:solidFill>
              <a:latin typeface="Arial"/>
              <a:ea typeface="Arial"/>
              <a:cs typeface="Arial"/>
            </a:rPr>
            <a:t>( 1.17V     </a:t>
          </a:r>
          <a:r>
            <a:rPr lang="en-US" cap="none" sz="1000" b="0" i="0" u="none" baseline="0">
              <a:solidFill>
                <a:srgbClr val="000000"/>
              </a:solidFill>
              <a:latin typeface="Arial"/>
              <a:ea typeface="Arial"/>
              <a:cs typeface="Arial"/>
            </a:rPr>
            <a:t> +  20uA)
</a:t>
          </a:r>
          <a:r>
            <a:rPr lang="en-US" cap="none" sz="1000" b="0" i="0" u="none" baseline="0">
              <a:solidFill>
                <a:srgbClr val="000000"/>
              </a:solidFill>
              <a:latin typeface="Arial"/>
              <a:ea typeface="Arial"/>
              <a:cs typeface="Arial"/>
            </a:rPr>
            <a:t>                                                            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x (R1 + R2)/R2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1.16V x (R3 + R4)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(R3 x ((</a:t>
          </a:r>
          <a:r>
            <a:rPr lang="en-US" cap="none" sz="1000" b="0" i="0" u="sng" baseline="0">
              <a:solidFill>
                <a:srgbClr val="000000"/>
              </a:solidFill>
              <a:latin typeface="Arial"/>
              <a:ea typeface="Arial"/>
              <a:cs typeface="Arial"/>
            </a:rPr>
            <a:t> 1.16V)</a:t>
          </a:r>
          <a:r>
            <a:rPr lang="en-US" cap="none" sz="1000" b="0" i="0" u="none" baseline="0">
              <a:solidFill>
                <a:srgbClr val="000000"/>
              </a:solidFill>
              <a:latin typeface="Arial"/>
              <a:ea typeface="Arial"/>
              <a:cs typeface="Arial"/>
            </a:rPr>
            <a:t>  -  20uA)) + 1.16V
</a:t>
          </a:r>
          <a:r>
            <a:rPr lang="en-US" cap="none" sz="1000" b="0" i="0" u="none" baseline="0">
              <a:solidFill>
                <a:srgbClr val="000000"/>
              </a:solidFill>
              <a:latin typeface="Arial"/>
              <a:ea typeface="Arial"/>
              <a:cs typeface="Arial"/>
            </a:rPr>
            <a:t>                                              R4
</a:t>
          </a:r>
        </a:p>
      </xdr:txBody>
    </xdr:sp>
    <xdr:clientData/>
  </xdr:twoCellAnchor>
  <xdr:twoCellAnchor>
    <xdr:from>
      <xdr:col>21</xdr:col>
      <xdr:colOff>0</xdr:colOff>
      <xdr:row>93</xdr:row>
      <xdr:rowOff>133350</xdr:rowOff>
    </xdr:from>
    <xdr:to>
      <xdr:col>24</xdr:col>
      <xdr:colOff>0</xdr:colOff>
      <xdr:row>104</xdr:row>
      <xdr:rowOff>142875</xdr:rowOff>
    </xdr:to>
    <xdr:sp>
      <xdr:nvSpPr>
        <xdr:cNvPr id="5" name="Text Box 98"/>
        <xdr:cNvSpPr txBox="1">
          <a:spLocks noChangeArrowheads="1"/>
        </xdr:cNvSpPr>
      </xdr:nvSpPr>
      <xdr:spPr>
        <a:xfrm>
          <a:off x="12925425" y="15982950"/>
          <a:ext cx="0" cy="1828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Rpwr = 2.32 x 10</a:t>
          </a:r>
          <a:r>
            <a:rPr lang="en-US" cap="none" sz="1000" b="0" i="0" u="none" baseline="30000">
              <a:solidFill>
                <a:srgbClr val="000000"/>
              </a:solidFill>
              <a:latin typeface="Arial"/>
              <a:ea typeface="Arial"/>
              <a:cs typeface="Arial"/>
            </a:rPr>
            <a:t>5</a:t>
          </a:r>
          <a:r>
            <a:rPr lang="en-US" cap="none" sz="1000" b="0" i="0" u="none" baseline="0">
              <a:solidFill>
                <a:srgbClr val="000000"/>
              </a:solidFill>
              <a:latin typeface="Arial"/>
              <a:ea typeface="Arial"/>
              <a:cs typeface="Arial"/>
            </a:rPr>
            <a:t> x Rs x P</a:t>
          </a:r>
          <a:r>
            <a:rPr lang="en-US" cap="none" sz="1000" b="0" i="0" u="none" baseline="-25000">
              <a:solidFill>
                <a:srgbClr val="000000"/>
              </a:solidFill>
              <a:latin typeface="Arial"/>
              <a:ea typeface="Arial"/>
              <a:cs typeface="Arial"/>
            </a:rPr>
            <a:t>FET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FET(min)</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3.28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FET(typ)</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4.31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FET(max)</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5.34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a:t>
          </a:r>
        </a:p>
      </xdr:txBody>
    </xdr:sp>
    <xdr:clientData/>
  </xdr:twoCellAnchor>
  <xdr:twoCellAnchor>
    <xdr:from>
      <xdr:col>0</xdr:col>
      <xdr:colOff>190500</xdr:colOff>
      <xdr:row>80</xdr:row>
      <xdr:rowOff>28575</xdr:rowOff>
    </xdr:from>
    <xdr:to>
      <xdr:col>4</xdr:col>
      <xdr:colOff>2600325</xdr:colOff>
      <xdr:row>101</xdr:row>
      <xdr:rowOff>152400</xdr:rowOff>
    </xdr:to>
    <xdr:graphicFrame>
      <xdr:nvGraphicFramePr>
        <xdr:cNvPr id="6" name="Chart 100"/>
        <xdr:cNvGraphicFramePr/>
      </xdr:nvGraphicFramePr>
      <xdr:xfrm>
        <a:off x="190500" y="13725525"/>
        <a:ext cx="505777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50"/>
  <sheetViews>
    <sheetView zoomScalePageLayoutView="0" workbookViewId="0" topLeftCell="A43">
      <selection activeCell="I4" sqref="I4"/>
    </sheetView>
  </sheetViews>
  <sheetFormatPr defaultColWidth="9.140625" defaultRowHeight="12.75"/>
  <sheetData>
    <row r="1" spans="1:36" ht="12.7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36" ht="18">
      <c r="A2" s="23"/>
      <c r="B2" s="59" t="s">
        <v>65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12.7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1:36" ht="12.75" customHeight="1">
      <c r="A4" s="23"/>
      <c r="B4" s="24" t="s">
        <v>126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12.75" customHeight="1">
      <c r="A5" s="23"/>
      <c r="B5" s="24" t="s">
        <v>125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36" ht="12.75" customHeight="1">
      <c r="A6" s="23"/>
      <c r="B6" s="61" t="s">
        <v>64</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12.75" customHeight="1">
      <c r="A7" s="23"/>
      <c r="B7" s="62">
        <v>40009</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12.75" customHeight="1">
      <c r="A8" s="23"/>
      <c r="B8" s="24"/>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row>
    <row r="9" spans="1:36" ht="12.75" customHeight="1">
      <c r="A9" s="23"/>
      <c r="B9" s="24"/>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12.75" customHeight="1">
      <c r="A10" s="23"/>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2.75" customHeight="1">
      <c r="A11" s="23"/>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12.75" customHeight="1">
      <c r="A12" s="23"/>
      <c r="B12" s="24"/>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ht="12.75" customHeight="1">
      <c r="A13" s="23"/>
      <c r="B13" s="24"/>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6" ht="12.75" customHeight="1">
      <c r="A14" s="23"/>
      <c r="B14" s="24"/>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row>
    <row r="15" spans="1:36" ht="12.75" customHeight="1">
      <c r="A15" s="23"/>
      <c r="B15" s="24"/>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ht="12.75" customHeight="1">
      <c r="A16" s="23"/>
      <c r="B16" s="24"/>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ht="12.75" customHeight="1">
      <c r="A17" s="23"/>
      <c r="B17" s="2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ht="12.75" customHeight="1">
      <c r="A18" s="23"/>
      <c r="B18" s="24"/>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1:36" ht="12.75" customHeight="1">
      <c r="A19" s="23"/>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ht="12.75" customHeight="1">
      <c r="A20" s="23"/>
      <c r="B20" s="2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36" ht="12.75" customHeight="1">
      <c r="A21" s="23"/>
      <c r="B21" s="2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36" ht="12.75" customHeight="1">
      <c r="A22" s="23"/>
      <c r="B22" s="2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spans="1:36" ht="12.75" customHeight="1">
      <c r="A23" s="23"/>
      <c r="B23" s="2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row>
    <row r="24" spans="1:36" ht="12.75" customHeight="1">
      <c r="A24" s="23"/>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row>
    <row r="25" spans="1:36" ht="12.75" customHeight="1">
      <c r="A25" s="23"/>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2.75" customHeight="1">
      <c r="A26" s="23"/>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12.75" customHeight="1">
      <c r="A27" s="23"/>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ht="12.75" customHeight="1">
      <c r="A28" s="23"/>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row>
    <row r="29" spans="1:36" ht="12.75" customHeight="1">
      <c r="A29" s="23"/>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2.75" customHeight="1">
      <c r="A30" s="23"/>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ht="12.75" customHeight="1">
      <c r="A31" s="23"/>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36" ht="12.75" customHeight="1">
      <c r="A32" s="23"/>
      <c r="B32" s="24"/>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36" ht="12.75" customHeight="1">
      <c r="A33" s="23"/>
      <c r="B33" s="24"/>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1:36" ht="12.75" customHeight="1">
      <c r="A34" s="23"/>
      <c r="B34" s="24"/>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ht="12.75" customHeight="1">
      <c r="A35" s="23"/>
      <c r="B35" s="2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12.75"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12.75" customHeight="1">
      <c r="A37" s="23"/>
      <c r="B37" s="2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ht="12.75" customHeight="1">
      <c r="A38" s="23"/>
      <c r="B38" s="2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1:36" ht="12.75" customHeight="1">
      <c r="A39" s="23"/>
      <c r="B39" s="24"/>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row>
    <row r="40" spans="1:36" ht="12.75" customHeight="1">
      <c r="A40" s="23"/>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ht="12.75" customHeight="1">
      <c r="A41" s="23"/>
      <c r="B41" s="2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12.75" customHeight="1">
      <c r="A42" s="23"/>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1:36" ht="12.75" customHeight="1">
      <c r="A43" s="23"/>
      <c r="B43" s="2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2.75" customHeight="1">
      <c r="A44" s="23"/>
      <c r="B44" s="2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ht="12.75" customHeight="1">
      <c r="A45" s="23"/>
      <c r="B45" s="2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2.75" customHeight="1">
      <c r="A46" s="23"/>
      <c r="B46" s="2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row>
    <row r="47" spans="1:36" ht="12.75" customHeight="1">
      <c r="A47" s="23"/>
      <c r="B47" s="2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ht="12.75" customHeight="1">
      <c r="A48" s="23"/>
      <c r="B48" s="2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row r="49" spans="1:36" ht="12.75" customHeight="1">
      <c r="A49" s="23"/>
      <c r="B49" s="2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row>
    <row r="50" spans="1:36" ht="12.75" customHeight="1">
      <c r="A50" s="23"/>
      <c r="B50" s="2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row>
    <row r="51" spans="1:36" ht="12.75" customHeight="1">
      <c r="A51" s="23"/>
      <c r="B51" s="2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row>
    <row r="52" spans="1:36" ht="12.75" customHeight="1">
      <c r="A52" s="23"/>
      <c r="B52" s="2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row>
    <row r="53" spans="1:36" ht="12.75" customHeight="1">
      <c r="A53" s="23"/>
      <c r="B53" s="24"/>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36" ht="12.75" customHeight="1">
      <c r="A54" s="23"/>
      <c r="B54" s="24"/>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36" ht="12.75" customHeight="1">
      <c r="A55" s="23"/>
      <c r="B55" s="24"/>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row>
    <row r="56" spans="1:36" ht="12.75">
      <c r="A56" s="23"/>
      <c r="B56" s="24"/>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row>
    <row r="57" spans="1:36" ht="12.75">
      <c r="A57" s="23"/>
      <c r="B57" s="2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row>
    <row r="58" spans="1:36" ht="12.7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row>
    <row r="59" spans="1:36" ht="12.75">
      <c r="A59" s="23"/>
      <c r="B59" s="25"/>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1:36" ht="12.75">
      <c r="A60" s="23"/>
      <c r="B60" s="24"/>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row>
    <row r="61" spans="1:36" ht="12.75">
      <c r="A61" s="23"/>
      <c r="B61" s="25"/>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row>
    <row r="62" spans="1:36" ht="12.7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1:36" ht="12.75" customHeight="1">
      <c r="A63" s="23"/>
      <c r="B63" s="25"/>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1:36" ht="12.75" customHeight="1">
      <c r="A64" s="23"/>
      <c r="B64" s="2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row>
    <row r="65" spans="1:36" ht="12.75" customHeight="1">
      <c r="A65" s="23"/>
      <c r="B65" s="2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1:36" ht="12.75" customHeight="1">
      <c r="A66" s="23"/>
      <c r="B66" s="26"/>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1:36" ht="13.5" customHeight="1">
      <c r="A67" s="23"/>
      <c r="B67" s="27"/>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1:36" ht="12.75" customHeight="1">
      <c r="A68" s="23"/>
      <c r="B68" s="2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1:36" ht="12.75" customHeight="1">
      <c r="A69" s="23"/>
      <c r="B69" s="28"/>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row>
    <row r="70" spans="1:36"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row>
    <row r="71" spans="1:36" ht="12.75">
      <c r="A71" s="23"/>
      <c r="B71" s="25"/>
      <c r="C71" s="29"/>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row>
    <row r="72" spans="1:36"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row>
    <row r="73" spans="1:36"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row>
    <row r="74" spans="1:36"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row>
    <row r="75" spans="1:36"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row>
    <row r="76" spans="1:36"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row>
    <row r="77" spans="1:36"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row>
    <row r="78" spans="1:36"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row>
    <row r="79" spans="1:36"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row>
    <row r="80" spans="1:36" ht="12.7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row>
    <row r="81" spans="1:36" ht="12.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row>
    <row r="82" spans="1:36"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row>
    <row r="83" spans="1:36" ht="12.7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row>
    <row r="84" spans="1:36"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row>
    <row r="85" spans="1:36"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row>
    <row r="86" spans="1:36" ht="12.7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row>
    <row r="87" spans="1:36"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row>
    <row r="88" spans="1:36"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row>
    <row r="89" spans="1:36"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row>
    <row r="90" spans="1:36"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row>
    <row r="91" spans="1:36"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row>
    <row r="92" spans="1:36"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row>
    <row r="93" spans="1:36"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row>
    <row r="94" spans="1:36"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1:36"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96" spans="1:36"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row>
    <row r="97" spans="1:36"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row>
    <row r="98" spans="1:36" ht="12.7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row>
    <row r="99" spans="1:36" ht="12.7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row>
    <row r="100" spans="1:36" ht="12.7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row>
    <row r="101" spans="1:36" ht="12.7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1:36" ht="12.7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row>
    <row r="103" spans="1:36" ht="12.7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row>
    <row r="104" spans="1:36" ht="12.7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spans="1:36" ht="12.7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row>
    <row r="106" spans="1:36" ht="12.7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row>
    <row r="107" spans="1:36" ht="12.7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row>
    <row r="108" spans="1:36" ht="12.7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row>
    <row r="109" spans="1:36" ht="12.7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row>
    <row r="110" spans="1:36" ht="12.7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row>
    <row r="111" spans="1:36" ht="12.7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row>
    <row r="112" spans="1:36" ht="12.7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row>
    <row r="113" spans="1:36" ht="12.7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row>
    <row r="114" spans="1:36" ht="12.7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row>
    <row r="115" spans="1:36" ht="12.7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row>
    <row r="116" spans="1:36" ht="12.7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row>
    <row r="117" spans="1:36" ht="12.7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row>
    <row r="118" spans="1:36" ht="12.7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row>
    <row r="119" spans="1:36" ht="12.7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row>
    <row r="120" spans="1:36" ht="12.7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row>
    <row r="121" spans="1:36" ht="12.7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row>
    <row r="122" spans="1:36" ht="12.7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row>
    <row r="123" spans="1:36" ht="12.7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row>
    <row r="124" spans="1:36" ht="12.7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row>
    <row r="125" spans="1:36" ht="12.7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row>
    <row r="126" spans="1:36" ht="12.7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row>
    <row r="127" spans="1:36" ht="12.7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row>
    <row r="128" spans="1:36" ht="12.7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row>
    <row r="129" spans="1:36" ht="12.7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row>
    <row r="130" spans="1:36" ht="12.7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row>
    <row r="131" spans="1:36" ht="12.7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row>
    <row r="132" spans="1:36" ht="12.7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row>
    <row r="133" spans="1:36" ht="12.7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row>
    <row r="134" spans="1:36" ht="12.7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row>
    <row r="135" spans="1:36" ht="12.7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row>
    <row r="136" spans="1:36" ht="12.7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row>
    <row r="137" spans="1:36" ht="12.7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row>
    <row r="138" spans="1:36" ht="12.7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row>
    <row r="139" spans="1:36" ht="12.7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row>
    <row r="140" spans="1:36" ht="12.7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row>
    <row r="141" spans="1:36" ht="12.7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row>
    <row r="142" spans="1:36" ht="12.7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row>
    <row r="143" spans="1:36" ht="12.7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row>
    <row r="144" spans="1:36" ht="12.7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row>
    <row r="145" spans="1:36" ht="12.7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row>
    <row r="146" spans="1:36" ht="12.7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row>
    <row r="147" spans="1:36" ht="12.7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row>
    <row r="148" spans="1:36"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row>
    <row r="149" spans="1:36"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row>
    <row r="150" spans="1:36" ht="12.7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row>
  </sheetData>
  <sheetProtection sheet="1" objects="1" scenarios="1" selectLockedCells="1"/>
  <printOptions/>
  <pageMargins left="0.75" right="0.75" top="1" bottom="1" header="0.5" footer="0.5"/>
  <pageSetup fitToHeight="4" horizontalDpi="600" verticalDpi="600" orientation="landscape" scale="75" r:id="rId4"/>
  <rowBreaks count="1" manualBreakCount="1">
    <brk id="50" max="14" man="1"/>
  </rowBreaks>
  <drawing r:id="rId3"/>
  <legacyDrawing r:id="rId2"/>
  <oleObjects>
    <oleObject progId="Visio.Drawing.6" shapeId="1488206" r:id="rId1"/>
  </oleObjects>
</worksheet>
</file>

<file path=xl/worksheets/sheet2.xml><?xml version="1.0" encoding="utf-8"?>
<worksheet xmlns="http://schemas.openxmlformats.org/spreadsheetml/2006/main" xmlns:r="http://schemas.openxmlformats.org/officeDocument/2006/relationships">
  <dimension ref="A1:AK150"/>
  <sheetViews>
    <sheetView tabSelected="1" zoomScalePageLayoutView="0" workbookViewId="0" topLeftCell="A1">
      <selection activeCell="F40" sqref="F40"/>
    </sheetView>
  </sheetViews>
  <sheetFormatPr defaultColWidth="9.140625" defaultRowHeight="12.75"/>
  <cols>
    <col min="1" max="1" width="4.8515625" style="0" customWidth="1"/>
    <col min="2" max="2" width="10.421875" style="0" bestFit="1" customWidth="1"/>
    <col min="3" max="3" width="21.00390625" style="0" customWidth="1"/>
    <col min="4" max="4" width="3.421875" style="0" customWidth="1"/>
    <col min="5" max="5" width="39.8515625" style="0" customWidth="1"/>
    <col min="6" max="8" width="12.7109375" style="0" customWidth="1"/>
    <col min="11" max="11" width="10.8515625" style="0" customWidth="1"/>
    <col min="12" max="12" width="10.421875" style="0" customWidth="1"/>
    <col min="17" max="38" width="0" style="0" hidden="1" customWidth="1"/>
  </cols>
  <sheetData>
    <row r="1" spans="1:15" ht="12.75">
      <c r="A1" s="23"/>
      <c r="B1" s="23"/>
      <c r="C1" s="23"/>
      <c r="D1" s="23"/>
      <c r="E1" s="23"/>
      <c r="F1" s="23"/>
      <c r="G1" s="23"/>
      <c r="H1" s="23"/>
      <c r="I1" s="23"/>
      <c r="J1" s="23"/>
      <c r="K1" s="23"/>
      <c r="L1" s="23"/>
      <c r="M1" s="23"/>
      <c r="N1" s="23"/>
      <c r="O1" s="23"/>
    </row>
    <row r="2" spans="1:15" ht="18">
      <c r="A2" s="23"/>
      <c r="B2" s="59" t="s">
        <v>65</v>
      </c>
      <c r="C2" s="23"/>
      <c r="D2" s="23"/>
      <c r="E2" s="23"/>
      <c r="F2" s="33"/>
      <c r="G2" s="23"/>
      <c r="H2" s="23"/>
      <c r="I2" s="23"/>
      <c r="J2" s="23"/>
      <c r="K2" s="23"/>
      <c r="L2" s="23"/>
      <c r="M2" s="23"/>
      <c r="N2" s="23"/>
      <c r="O2" s="23"/>
    </row>
    <row r="3" spans="1:15" ht="12.75">
      <c r="A3" s="23"/>
      <c r="B3" s="23"/>
      <c r="C3" s="23"/>
      <c r="D3" s="23"/>
      <c r="E3" s="23"/>
      <c r="F3" s="23"/>
      <c r="G3" s="23"/>
      <c r="H3" s="23"/>
      <c r="I3" s="23"/>
      <c r="J3" s="23"/>
      <c r="K3" s="23"/>
      <c r="L3" s="23"/>
      <c r="M3" s="23"/>
      <c r="N3" s="23"/>
      <c r="O3" s="23"/>
    </row>
    <row r="4" spans="1:15" ht="12.75">
      <c r="A4" s="23"/>
      <c r="B4" s="23"/>
      <c r="C4" s="23"/>
      <c r="D4" s="23"/>
      <c r="E4" s="23"/>
      <c r="F4" s="23"/>
      <c r="G4" s="23"/>
      <c r="H4" s="23"/>
      <c r="I4" s="23"/>
      <c r="J4" s="23"/>
      <c r="K4" s="23"/>
      <c r="L4" s="23"/>
      <c r="M4" s="23"/>
      <c r="N4" s="23"/>
      <c r="O4" s="23"/>
    </row>
    <row r="5" spans="1:15" ht="12.75">
      <c r="A5" s="23"/>
      <c r="B5" s="23"/>
      <c r="C5" s="23"/>
      <c r="D5" s="23"/>
      <c r="E5" s="23"/>
      <c r="F5" s="23"/>
      <c r="G5" s="23"/>
      <c r="H5" s="23"/>
      <c r="I5" s="23"/>
      <c r="J5" s="23"/>
      <c r="K5" s="23"/>
      <c r="L5" s="23"/>
      <c r="M5" s="23"/>
      <c r="N5" s="23"/>
      <c r="O5" s="23"/>
    </row>
    <row r="6" spans="1:15" ht="12.75">
      <c r="A6" s="23"/>
      <c r="B6" s="23"/>
      <c r="C6" s="23"/>
      <c r="D6" s="23"/>
      <c r="E6" s="23"/>
      <c r="F6" s="23"/>
      <c r="G6" s="23"/>
      <c r="H6" s="23"/>
      <c r="I6" s="23"/>
      <c r="J6" s="23"/>
      <c r="K6" s="23"/>
      <c r="L6" s="23"/>
      <c r="M6" s="23"/>
      <c r="N6" s="23"/>
      <c r="O6" s="23"/>
    </row>
    <row r="7" spans="1:15" ht="12.75">
      <c r="A7" s="23"/>
      <c r="B7" s="23"/>
      <c r="C7" s="23"/>
      <c r="D7" s="23"/>
      <c r="E7" s="23"/>
      <c r="F7" s="23"/>
      <c r="G7" s="23"/>
      <c r="H7" s="23"/>
      <c r="I7" s="23"/>
      <c r="J7" s="23"/>
      <c r="K7" s="23"/>
      <c r="L7" s="23"/>
      <c r="M7" s="23"/>
      <c r="N7" s="23"/>
      <c r="O7" s="23"/>
    </row>
    <row r="8" spans="1:15" ht="12.75">
      <c r="A8" s="23"/>
      <c r="B8" s="23"/>
      <c r="C8" s="23"/>
      <c r="D8" s="23"/>
      <c r="E8" s="23"/>
      <c r="F8" s="23"/>
      <c r="G8" s="23"/>
      <c r="H8" s="23"/>
      <c r="I8" s="23"/>
      <c r="J8" s="23"/>
      <c r="K8" s="23"/>
      <c r="L8" s="23"/>
      <c r="M8" s="23"/>
      <c r="N8" s="23"/>
      <c r="O8" s="23"/>
    </row>
    <row r="9" spans="1:15" ht="12.75">
      <c r="A9" s="23"/>
      <c r="B9" s="61" t="s">
        <v>64</v>
      </c>
      <c r="C9" s="23"/>
      <c r="D9" s="23"/>
      <c r="E9" s="92" t="s">
        <v>46</v>
      </c>
      <c r="F9" s="23"/>
      <c r="G9" s="23"/>
      <c r="H9" s="23"/>
      <c r="I9" s="23"/>
      <c r="J9" s="23"/>
      <c r="K9" s="23"/>
      <c r="L9" s="23"/>
      <c r="M9" s="23"/>
      <c r="N9" s="23"/>
      <c r="O9" s="23"/>
    </row>
    <row r="10" spans="1:15" ht="12.75">
      <c r="A10" s="23"/>
      <c r="B10" s="62">
        <v>40009</v>
      </c>
      <c r="C10" s="23"/>
      <c r="D10" s="23"/>
      <c r="E10" s="34" t="s">
        <v>122</v>
      </c>
      <c r="F10" s="23"/>
      <c r="G10" s="23"/>
      <c r="H10" s="23"/>
      <c r="I10" s="23"/>
      <c r="J10" s="23"/>
      <c r="K10" s="23"/>
      <c r="L10" s="23"/>
      <c r="M10" s="23"/>
      <c r="N10" s="23"/>
      <c r="O10" s="23"/>
    </row>
    <row r="11" spans="1:15" ht="12.75">
      <c r="A11" s="23"/>
      <c r="B11" s="23"/>
      <c r="C11" s="23"/>
      <c r="D11" s="23"/>
      <c r="E11" s="23"/>
      <c r="F11" s="84"/>
      <c r="G11" s="23"/>
      <c r="H11" s="23"/>
      <c r="I11" s="23"/>
      <c r="J11" s="23"/>
      <c r="K11" s="23"/>
      <c r="L11" s="23"/>
      <c r="M11" s="23"/>
      <c r="N11" s="23"/>
      <c r="O11" s="23"/>
    </row>
    <row r="12" spans="1:15" ht="12.75">
      <c r="A12" s="23"/>
      <c r="B12" s="24" t="s">
        <v>1</v>
      </c>
      <c r="C12" s="23"/>
      <c r="D12" s="23"/>
      <c r="E12" s="35" t="s">
        <v>63</v>
      </c>
      <c r="F12" s="30">
        <v>4</v>
      </c>
      <c r="G12" s="23" t="s">
        <v>2</v>
      </c>
      <c r="H12" s="23"/>
      <c r="I12" s="23"/>
      <c r="J12" s="23"/>
      <c r="K12" s="23"/>
      <c r="L12" s="23"/>
      <c r="M12" s="23"/>
      <c r="N12" s="23"/>
      <c r="O12" s="23"/>
    </row>
    <row r="13" spans="1:15" ht="12.75">
      <c r="A13" s="23"/>
      <c r="B13" s="23"/>
      <c r="C13" s="23"/>
      <c r="D13" s="23"/>
      <c r="E13" s="35" t="s">
        <v>62</v>
      </c>
      <c r="F13" s="30">
        <v>6</v>
      </c>
      <c r="G13" s="23" t="s">
        <v>2</v>
      </c>
      <c r="H13" s="23"/>
      <c r="I13" s="23"/>
      <c r="J13" s="23"/>
      <c r="K13" s="23"/>
      <c r="L13" s="23"/>
      <c r="M13" s="23"/>
      <c r="N13" s="23"/>
      <c r="O13" s="23"/>
    </row>
    <row r="14" spans="1:15" ht="12.75">
      <c r="A14" s="23"/>
      <c r="B14" s="23"/>
      <c r="C14" s="23"/>
      <c r="D14" s="23"/>
      <c r="E14" s="35" t="s">
        <v>3</v>
      </c>
      <c r="F14" s="30">
        <v>2.5</v>
      </c>
      <c r="G14" s="23" t="s">
        <v>4</v>
      </c>
      <c r="H14" s="23"/>
      <c r="I14" s="23"/>
      <c r="J14" s="23"/>
      <c r="K14" s="23"/>
      <c r="L14" s="23"/>
      <c r="M14" s="23"/>
      <c r="N14" s="23"/>
      <c r="O14" s="23"/>
    </row>
    <row r="15" spans="1:15" ht="15.75">
      <c r="A15" s="23"/>
      <c r="B15" s="23"/>
      <c r="C15" s="23"/>
      <c r="D15" s="23"/>
      <c r="E15" s="35" t="s">
        <v>36</v>
      </c>
      <c r="F15" s="30">
        <v>220</v>
      </c>
      <c r="G15" s="23" t="s">
        <v>22</v>
      </c>
      <c r="H15" s="23"/>
      <c r="I15" s="23"/>
      <c r="J15" s="23"/>
      <c r="K15" s="23"/>
      <c r="L15" s="23"/>
      <c r="M15" s="23"/>
      <c r="N15" s="23"/>
      <c r="O15" s="23"/>
    </row>
    <row r="16" spans="1:15" ht="12.75">
      <c r="A16" s="23"/>
      <c r="B16" s="23"/>
      <c r="C16" s="23"/>
      <c r="D16" s="23"/>
      <c r="E16" s="23"/>
      <c r="F16" s="33"/>
      <c r="G16" s="23"/>
      <c r="H16" s="23"/>
      <c r="I16" s="23"/>
      <c r="J16" s="23"/>
      <c r="K16" s="23"/>
      <c r="L16" s="23"/>
      <c r="M16" s="23"/>
      <c r="N16" s="23"/>
      <c r="O16" s="23"/>
    </row>
    <row r="17" spans="1:15" ht="12.75">
      <c r="A17" s="23"/>
      <c r="B17" s="23"/>
      <c r="C17" s="23"/>
      <c r="D17" s="23"/>
      <c r="E17" s="23"/>
      <c r="F17" s="33"/>
      <c r="G17" s="23"/>
      <c r="H17" s="23"/>
      <c r="I17" s="23"/>
      <c r="J17" s="23"/>
      <c r="K17" s="23"/>
      <c r="L17" s="23"/>
      <c r="M17" s="23"/>
      <c r="N17" s="23"/>
      <c r="O17" s="23"/>
    </row>
    <row r="18" spans="1:15" ht="15.75">
      <c r="A18" s="23"/>
      <c r="B18" s="24" t="s">
        <v>5</v>
      </c>
      <c r="C18" s="23"/>
      <c r="D18" s="23"/>
      <c r="E18" s="35" t="s">
        <v>47</v>
      </c>
      <c r="F18" s="36">
        <f>U24</f>
        <v>17.821782178217823</v>
      </c>
      <c r="G18" s="23" t="s">
        <v>6</v>
      </c>
      <c r="H18" s="23"/>
      <c r="I18" s="23"/>
      <c r="J18" s="23"/>
      <c r="K18" s="23"/>
      <c r="L18" s="23"/>
      <c r="M18" s="23"/>
      <c r="N18" s="23"/>
      <c r="O18" s="23"/>
    </row>
    <row r="19" spans="1:15" ht="15.75">
      <c r="A19" s="23"/>
      <c r="B19" s="23"/>
      <c r="C19" s="23"/>
      <c r="D19" s="23"/>
      <c r="E19" s="35" t="s">
        <v>8</v>
      </c>
      <c r="F19" s="30">
        <v>15</v>
      </c>
      <c r="G19" s="23" t="s">
        <v>124</v>
      </c>
      <c r="H19" s="23"/>
      <c r="I19" s="23"/>
      <c r="J19" s="23"/>
      <c r="K19" s="23"/>
      <c r="L19" s="23"/>
      <c r="M19" s="23"/>
      <c r="N19" s="23"/>
      <c r="O19" s="23"/>
    </row>
    <row r="20" spans="1:15" ht="12.75">
      <c r="A20" s="23"/>
      <c r="B20" s="23"/>
      <c r="C20" s="23"/>
      <c r="D20" s="23"/>
      <c r="E20" s="5" t="s">
        <v>48</v>
      </c>
      <c r="F20" s="36">
        <f>U25</f>
        <v>3</v>
      </c>
      <c r="G20" s="23" t="s">
        <v>4</v>
      </c>
      <c r="H20" s="23"/>
      <c r="I20" s="23"/>
      <c r="J20" s="23"/>
      <c r="K20" s="23"/>
      <c r="L20" s="23"/>
      <c r="M20" s="23"/>
      <c r="N20" s="23"/>
      <c r="O20" s="23"/>
    </row>
    <row r="21" spans="1:15" ht="12.75">
      <c r="A21" s="23"/>
      <c r="B21" s="23"/>
      <c r="C21" s="23"/>
      <c r="D21" s="23"/>
      <c r="E21" s="7" t="s">
        <v>49</v>
      </c>
      <c r="F21" s="36">
        <f>U26</f>
        <v>3.3333333333333335</v>
      </c>
      <c r="G21" s="23" t="s">
        <v>4</v>
      </c>
      <c r="H21" s="23"/>
      <c r="I21" s="23"/>
      <c r="J21" s="23"/>
      <c r="K21" s="23"/>
      <c r="L21" s="23"/>
      <c r="M21" s="23"/>
      <c r="N21" s="23"/>
      <c r="O21" s="23"/>
    </row>
    <row r="22" spans="1:15" ht="12.75">
      <c r="A22" s="23"/>
      <c r="B22" s="23"/>
      <c r="C22" s="23"/>
      <c r="D22" s="23"/>
      <c r="E22" s="6" t="s">
        <v>50</v>
      </c>
      <c r="F22" s="36">
        <f>U27</f>
        <v>3.6666666666666665</v>
      </c>
      <c r="G22" s="23" t="s">
        <v>4</v>
      </c>
      <c r="H22" s="23"/>
      <c r="I22" s="23"/>
      <c r="J22" s="23"/>
      <c r="K22" s="23"/>
      <c r="L22" s="23"/>
      <c r="M22" s="23"/>
      <c r="N22" s="23"/>
      <c r="O22" s="23"/>
    </row>
    <row r="23" spans="1:15" ht="15.75">
      <c r="A23" s="23"/>
      <c r="B23" s="23"/>
      <c r="C23" s="23"/>
      <c r="D23" s="23"/>
      <c r="E23" s="37" t="s">
        <v>51</v>
      </c>
      <c r="F23" s="34">
        <f>U28</f>
        <v>93.75</v>
      </c>
      <c r="G23" s="23" t="s">
        <v>13</v>
      </c>
      <c r="H23" s="23"/>
      <c r="I23" s="23"/>
      <c r="J23" s="23"/>
      <c r="K23" s="23"/>
      <c r="L23" s="23"/>
      <c r="M23" s="23"/>
      <c r="N23" s="23"/>
      <c r="O23" s="23"/>
    </row>
    <row r="24" spans="1:21" ht="12.75">
      <c r="A24" s="23"/>
      <c r="B24" s="23"/>
      <c r="C24" s="23"/>
      <c r="D24" s="23"/>
      <c r="E24" s="23"/>
      <c r="F24" s="33"/>
      <c r="G24" s="23"/>
      <c r="H24" s="23"/>
      <c r="I24" s="23"/>
      <c r="J24" s="23"/>
      <c r="K24" s="23"/>
      <c r="L24" s="23"/>
      <c r="M24" s="23"/>
      <c r="N24" s="23"/>
      <c r="O24" s="23"/>
      <c r="T24" s="2" t="s">
        <v>7</v>
      </c>
      <c r="U24">
        <f>45/(F14*1.01)</f>
        <v>17.821782178217823</v>
      </c>
    </row>
    <row r="25" spans="1:21" ht="12.75">
      <c r="A25" s="23"/>
      <c r="B25" s="24" t="s">
        <v>14</v>
      </c>
      <c r="C25" s="23"/>
      <c r="D25" s="23"/>
      <c r="E25" s="35" t="s">
        <v>52</v>
      </c>
      <c r="F25" s="30">
        <v>16</v>
      </c>
      <c r="G25" s="23" t="s">
        <v>15</v>
      </c>
      <c r="H25" s="23"/>
      <c r="I25" s="23"/>
      <c r="J25" s="23"/>
      <c r="K25" s="23"/>
      <c r="L25" s="23"/>
      <c r="M25" s="23"/>
      <c r="N25" s="23"/>
      <c r="O25" s="23"/>
      <c r="T25" s="2" t="s">
        <v>9</v>
      </c>
      <c r="U25" s="4">
        <f>45/F19</f>
        <v>3</v>
      </c>
    </row>
    <row r="26" spans="1:21" ht="15.75">
      <c r="A26" s="23"/>
      <c r="B26" s="23"/>
      <c r="C26" s="23"/>
      <c r="D26" s="23"/>
      <c r="E26" s="35" t="s">
        <v>53</v>
      </c>
      <c r="F26" s="36">
        <f>U30</f>
        <v>44.90322580645161</v>
      </c>
      <c r="G26" s="23" t="s">
        <v>17</v>
      </c>
      <c r="H26" s="23"/>
      <c r="I26" s="23"/>
      <c r="J26" s="23"/>
      <c r="K26" s="23"/>
      <c r="L26" s="23"/>
      <c r="M26" s="23"/>
      <c r="N26" s="23"/>
      <c r="O26" s="23"/>
      <c r="T26" s="2" t="s">
        <v>10</v>
      </c>
      <c r="U26">
        <f>50/F19</f>
        <v>3.3333333333333335</v>
      </c>
    </row>
    <row r="27" spans="1:21" ht="15.75">
      <c r="A27" s="23"/>
      <c r="B27" s="23"/>
      <c r="C27" s="23"/>
      <c r="D27" s="23"/>
      <c r="E27" s="37" t="s">
        <v>18</v>
      </c>
      <c r="F27" s="30">
        <v>56</v>
      </c>
      <c r="G27" s="23" t="s">
        <v>17</v>
      </c>
      <c r="H27" s="23"/>
      <c r="I27" s="23"/>
      <c r="J27" s="23"/>
      <c r="K27" s="23"/>
      <c r="L27" s="23"/>
      <c r="M27" s="23"/>
      <c r="N27" s="23"/>
      <c r="O27" s="23"/>
      <c r="T27" s="2" t="s">
        <v>11</v>
      </c>
      <c r="U27">
        <f>55/F19</f>
        <v>3.6666666666666665</v>
      </c>
    </row>
    <row r="28" spans="1:21" ht="12.75">
      <c r="A28" s="23"/>
      <c r="B28" s="23"/>
      <c r="C28" s="23"/>
      <c r="D28" s="23"/>
      <c r="E28" s="5" t="s">
        <v>54</v>
      </c>
      <c r="F28" s="36">
        <f>IF(F27&gt;150,X34,U32)</f>
        <v>12.229885057471265</v>
      </c>
      <c r="G28" s="23" t="s">
        <v>15</v>
      </c>
      <c r="H28" s="23"/>
      <c r="I28" s="23"/>
      <c r="J28" s="23"/>
      <c r="K28" s="23"/>
      <c r="L28" s="23"/>
      <c r="M28" s="23"/>
      <c r="N28" s="23"/>
      <c r="O28" s="23"/>
      <c r="T28" s="2" t="s">
        <v>12</v>
      </c>
      <c r="U28">
        <f>F14^2*F19</f>
        <v>93.75</v>
      </c>
    </row>
    <row r="29" spans="1:15" ht="12.75">
      <c r="A29" s="23"/>
      <c r="B29" s="23"/>
      <c r="C29" s="23"/>
      <c r="D29" s="23"/>
      <c r="E29" s="7" t="s">
        <v>55</v>
      </c>
      <c r="F29" s="36">
        <f>IF(F27&gt;150,U34,U31)</f>
        <v>16.091954022988507</v>
      </c>
      <c r="G29" s="23" t="s">
        <v>15</v>
      </c>
      <c r="H29" s="23"/>
      <c r="I29" s="23"/>
      <c r="J29" s="23"/>
      <c r="K29" s="23"/>
      <c r="L29" s="23"/>
      <c r="M29" s="23"/>
      <c r="N29" s="23"/>
      <c r="O29" s="23"/>
    </row>
    <row r="30" spans="1:22" ht="12.75">
      <c r="A30" s="23"/>
      <c r="B30" s="23"/>
      <c r="C30" s="23"/>
      <c r="D30" s="23"/>
      <c r="E30" s="6" t="s">
        <v>56</v>
      </c>
      <c r="F30" s="36">
        <f>IF(F27&gt;150,AA34,U33)</f>
        <v>19.95402298850575</v>
      </c>
      <c r="G30" s="23" t="s">
        <v>15</v>
      </c>
      <c r="H30" s="23"/>
      <c r="I30" s="23"/>
      <c r="J30" s="23"/>
      <c r="K30" s="23"/>
      <c r="L30" s="23"/>
      <c r="M30" s="23"/>
      <c r="N30" s="23"/>
      <c r="O30" s="23"/>
      <c r="T30" s="2" t="s">
        <v>16</v>
      </c>
      <c r="U30">
        <f>2.32*F19*F25/(10*1.24)</f>
        <v>44.90322580645161</v>
      </c>
      <c r="V30" t="s">
        <v>41</v>
      </c>
    </row>
    <row r="31" spans="1:21" ht="12.75">
      <c r="A31" s="23"/>
      <c r="B31" s="23"/>
      <c r="C31" s="23"/>
      <c r="D31" s="23"/>
      <c r="E31" s="23"/>
      <c r="F31" s="33"/>
      <c r="G31" s="23"/>
      <c r="H31" s="23"/>
      <c r="I31" s="23"/>
      <c r="J31" s="23"/>
      <c r="K31" s="23"/>
      <c r="L31" s="23"/>
      <c r="M31" s="23"/>
      <c r="N31" s="23"/>
      <c r="O31" s="23"/>
      <c r="T31" s="2" t="s">
        <v>19</v>
      </c>
      <c r="U31">
        <f>F27*10/(2.32*F19)</f>
        <v>16.091954022988507</v>
      </c>
    </row>
    <row r="32" spans="1:21" ht="12.75">
      <c r="A32" s="23"/>
      <c r="B32" s="24" t="s">
        <v>123</v>
      </c>
      <c r="C32" s="23"/>
      <c r="D32" s="23"/>
      <c r="E32" s="35" t="s">
        <v>57</v>
      </c>
      <c r="F32" s="36">
        <f>U36</f>
        <v>0.47327336540585174</v>
      </c>
      <c r="G32" s="23" t="s">
        <v>23</v>
      </c>
      <c r="H32" s="23"/>
      <c r="I32" s="23"/>
      <c r="J32" s="23"/>
      <c r="K32" s="23"/>
      <c r="L32" s="23"/>
      <c r="M32" s="23"/>
      <c r="N32" s="23"/>
      <c r="O32" s="23"/>
      <c r="T32" s="2" t="s">
        <v>20</v>
      </c>
      <c r="U32">
        <f>U31*0.76</f>
        <v>12.229885057471265</v>
      </c>
    </row>
    <row r="33" spans="1:21" ht="15.75">
      <c r="A33" s="23"/>
      <c r="B33" s="23"/>
      <c r="C33" s="23"/>
      <c r="D33" s="23"/>
      <c r="E33" s="35" t="s">
        <v>58</v>
      </c>
      <c r="F33" s="38">
        <f>U37</f>
        <v>0.04405082862623697</v>
      </c>
      <c r="G33" s="23" t="s">
        <v>22</v>
      </c>
      <c r="H33" s="23"/>
      <c r="I33" s="23"/>
      <c r="J33" s="23"/>
      <c r="K33" s="23"/>
      <c r="L33" s="23"/>
      <c r="M33" s="23"/>
      <c r="N33" s="23"/>
      <c r="O33" s="23"/>
      <c r="T33" s="2" t="s">
        <v>21</v>
      </c>
      <c r="U33">
        <f>U31*1.24</f>
        <v>19.95402298850575</v>
      </c>
    </row>
    <row r="34" spans="1:27" ht="15.75">
      <c r="A34" s="23"/>
      <c r="B34" s="23"/>
      <c r="C34" s="23"/>
      <c r="D34" s="23"/>
      <c r="E34" s="35" t="s">
        <v>28</v>
      </c>
      <c r="F34" s="30">
        <v>0.22</v>
      </c>
      <c r="G34" s="23" t="s">
        <v>22</v>
      </c>
      <c r="H34" s="23"/>
      <c r="I34" s="23"/>
      <c r="J34" s="23"/>
      <c r="K34" s="23"/>
      <c r="L34" s="23"/>
      <c r="M34" s="23"/>
      <c r="N34" s="23"/>
      <c r="O34" s="23"/>
      <c r="T34" s="2" t="s">
        <v>127</v>
      </c>
      <c r="U34" s="1">
        <f>F13*F21</f>
        <v>20</v>
      </c>
      <c r="W34" s="2" t="s">
        <v>129</v>
      </c>
      <c r="X34" s="1">
        <f>F13*F20</f>
        <v>18</v>
      </c>
      <c r="Z34" s="2" t="s">
        <v>128</v>
      </c>
      <c r="AA34" s="1">
        <f>F13*F22</f>
        <v>22</v>
      </c>
    </row>
    <row r="35" spans="1:15" ht="12.75">
      <c r="A35" s="23"/>
      <c r="B35" s="23"/>
      <c r="C35" s="23"/>
      <c r="D35" s="23"/>
      <c r="E35" s="13" t="s">
        <v>59</v>
      </c>
      <c r="F35" s="36">
        <f>U40</f>
        <v>2.6000000000000005</v>
      </c>
      <c r="G35" s="23" t="s">
        <v>23</v>
      </c>
      <c r="H35" s="23"/>
      <c r="I35" s="23"/>
      <c r="J35" s="23"/>
      <c r="K35" s="23"/>
      <c r="L35" s="23"/>
      <c r="M35" s="23"/>
      <c r="N35" s="23"/>
      <c r="O35" s="23"/>
    </row>
    <row r="36" spans="1:28" ht="12.75">
      <c r="A36" s="23"/>
      <c r="B36" s="23"/>
      <c r="C36" s="23"/>
      <c r="D36" s="23"/>
      <c r="E36" s="7" t="s">
        <v>60</v>
      </c>
      <c r="F36" s="36">
        <f>U38</f>
        <v>3.9076400000000002</v>
      </c>
      <c r="G36" s="23" t="s">
        <v>23</v>
      </c>
      <c r="H36" s="23"/>
      <c r="I36" s="23"/>
      <c r="J36" s="23"/>
      <c r="K36" s="23"/>
      <c r="L36" s="23"/>
      <c r="M36" s="23"/>
      <c r="N36" s="23"/>
      <c r="O36" s="23"/>
      <c r="T36" s="2" t="s">
        <v>26</v>
      </c>
      <c r="U36">
        <f>(F15*F13*F13/(2*F28*1000))+(F15*F28/(2*F20*F20*1000))</f>
        <v>0.47327336540585174</v>
      </c>
      <c r="Y36" s="9"/>
      <c r="AB36" s="9"/>
    </row>
    <row r="37" spans="1:28" ht="12.75">
      <c r="A37" s="23"/>
      <c r="B37" s="23"/>
      <c r="C37" s="23"/>
      <c r="D37" s="23"/>
      <c r="E37" s="37" t="s">
        <v>61</v>
      </c>
      <c r="F37" s="39">
        <f>U41</f>
        <v>68.75</v>
      </c>
      <c r="G37" s="23" t="s">
        <v>23</v>
      </c>
      <c r="H37" s="23"/>
      <c r="I37" s="23"/>
      <c r="J37" s="23"/>
      <c r="K37" s="23"/>
      <c r="L37" s="23"/>
      <c r="M37" s="23"/>
      <c r="N37" s="23"/>
      <c r="O37" s="23"/>
      <c r="T37" s="2" t="s">
        <v>27</v>
      </c>
      <c r="U37">
        <f>F32*1.1*110/(1.3*1000)</f>
        <v>0.04405082862623697</v>
      </c>
      <c r="V37" t="s">
        <v>42</v>
      </c>
      <c r="Y37" s="10"/>
      <c r="AB37" s="10"/>
    </row>
    <row r="38" spans="1:21" ht="12.75">
      <c r="A38" s="23"/>
      <c r="B38" s="23"/>
      <c r="C38" s="23"/>
      <c r="D38" s="23"/>
      <c r="E38" s="37" t="s">
        <v>165</v>
      </c>
      <c r="F38" s="34">
        <f>U42</f>
        <v>0.583</v>
      </c>
      <c r="G38" s="23" t="s">
        <v>33</v>
      </c>
      <c r="H38" s="23"/>
      <c r="I38" s="23"/>
      <c r="J38" s="23"/>
      <c r="K38" s="23"/>
      <c r="L38" s="23"/>
      <c r="M38" s="23"/>
      <c r="N38" s="23"/>
      <c r="O38" s="23"/>
      <c r="T38" s="2" t="s">
        <v>29</v>
      </c>
      <c r="U38">
        <f>F34*17.762</f>
        <v>3.9076400000000002</v>
      </c>
    </row>
    <row r="39" spans="1:27" ht="12.75">
      <c r="A39" s="23"/>
      <c r="B39" s="23"/>
      <c r="C39" s="23"/>
      <c r="D39" s="23"/>
      <c r="E39" s="37"/>
      <c r="F39" s="40"/>
      <c r="G39" s="23"/>
      <c r="H39" s="23"/>
      <c r="I39" s="23"/>
      <c r="J39" s="23"/>
      <c r="K39" s="23"/>
      <c r="L39" s="23"/>
      <c r="M39" s="23"/>
      <c r="N39" s="23"/>
      <c r="O39" s="23"/>
      <c r="T39" s="2"/>
      <c r="X39" t="s">
        <v>78</v>
      </c>
      <c r="AA39" t="s">
        <v>109</v>
      </c>
    </row>
    <row r="40" spans="1:27" ht="12.75">
      <c r="A40" s="23"/>
      <c r="B40" s="24" t="s">
        <v>67</v>
      </c>
      <c r="C40" s="23"/>
      <c r="D40" s="23"/>
      <c r="E40" s="37" t="s">
        <v>70</v>
      </c>
      <c r="F40" s="30" t="s">
        <v>69</v>
      </c>
      <c r="G40" s="23"/>
      <c r="H40" s="23"/>
      <c r="I40" s="23"/>
      <c r="J40" s="23"/>
      <c r="K40" s="23"/>
      <c r="L40" s="23"/>
      <c r="M40" s="23"/>
      <c r="N40" s="23"/>
      <c r="O40" s="23"/>
      <c r="T40" s="2" t="s">
        <v>30</v>
      </c>
      <c r="U40">
        <f>F34*1.3*1000/110</f>
        <v>2.6000000000000005</v>
      </c>
      <c r="X40" t="s">
        <v>79</v>
      </c>
      <c r="AA40" t="s">
        <v>110</v>
      </c>
    </row>
    <row r="41" spans="1:27" ht="12.75">
      <c r="A41" s="23"/>
      <c r="B41" s="23"/>
      <c r="C41" s="23"/>
      <c r="D41" s="23"/>
      <c r="E41" s="37" t="s">
        <v>34</v>
      </c>
      <c r="F41" s="31">
        <v>10</v>
      </c>
      <c r="G41" s="23" t="s">
        <v>2</v>
      </c>
      <c r="H41" s="23"/>
      <c r="I41" s="23"/>
      <c r="J41" s="23"/>
      <c r="K41" s="23"/>
      <c r="L41" s="23"/>
      <c r="M41" s="23"/>
      <c r="N41" s="23"/>
      <c r="O41" s="23"/>
      <c r="T41" s="2" t="s">
        <v>31</v>
      </c>
      <c r="U41">
        <f>F34*312.5</f>
        <v>68.75</v>
      </c>
      <c r="X41" t="s">
        <v>80</v>
      </c>
      <c r="AA41" t="s">
        <v>111</v>
      </c>
    </row>
    <row r="42" spans="1:27" ht="12.75">
      <c r="A42" s="23"/>
      <c r="B42" s="23"/>
      <c r="C42" s="23"/>
      <c r="D42" s="23"/>
      <c r="E42" s="37" t="s">
        <v>35</v>
      </c>
      <c r="F42" s="31">
        <v>9</v>
      </c>
      <c r="G42" s="23" t="s">
        <v>2</v>
      </c>
      <c r="H42" s="23"/>
      <c r="I42" s="23"/>
      <c r="J42" s="23"/>
      <c r="K42" s="23"/>
      <c r="L42" s="23"/>
      <c r="M42" s="23"/>
      <c r="N42" s="23"/>
      <c r="O42" s="23"/>
      <c r="T42" s="2" t="s">
        <v>32</v>
      </c>
      <c r="U42">
        <f>F34*2.65</f>
        <v>0.583</v>
      </c>
      <c r="X42" t="s">
        <v>81</v>
      </c>
      <c r="AA42" t="s">
        <v>112</v>
      </c>
    </row>
    <row r="43" spans="1:15" ht="12.75">
      <c r="A43" s="23"/>
      <c r="B43" s="23"/>
      <c r="C43" s="23"/>
      <c r="D43" s="23"/>
      <c r="E43" s="37" t="s">
        <v>66</v>
      </c>
      <c r="F43" s="31">
        <v>14</v>
      </c>
      <c r="G43" s="23" t="s">
        <v>2</v>
      </c>
      <c r="H43" s="23"/>
      <c r="I43" s="23"/>
      <c r="J43" s="23"/>
      <c r="K43" s="23"/>
      <c r="L43" s="23"/>
      <c r="M43" s="23"/>
      <c r="N43" s="23"/>
      <c r="O43" s="23"/>
    </row>
    <row r="44" spans="1:15" ht="12.75">
      <c r="A44" s="23"/>
      <c r="B44" s="23"/>
      <c r="C44" s="23"/>
      <c r="D44" s="23"/>
      <c r="E44" s="37" t="s">
        <v>71</v>
      </c>
      <c r="F44" s="31">
        <v>13</v>
      </c>
      <c r="G44" s="23" t="s">
        <v>2</v>
      </c>
      <c r="H44" s="23"/>
      <c r="I44" s="23"/>
      <c r="J44" s="23"/>
      <c r="K44" s="23"/>
      <c r="L44" s="23"/>
      <c r="M44" s="23"/>
      <c r="N44" s="23"/>
      <c r="O44" s="23"/>
    </row>
    <row r="45" spans="1:20" ht="12.75">
      <c r="A45" s="23"/>
      <c r="B45" s="23"/>
      <c r="C45" s="23"/>
      <c r="D45" s="23"/>
      <c r="E45" s="41" t="s">
        <v>72</v>
      </c>
      <c r="F45" s="42">
        <f>IF(F40="Option A",U48,V48)</f>
        <v>50</v>
      </c>
      <c r="G45" s="43" t="s">
        <v>17</v>
      </c>
      <c r="H45" s="23"/>
      <c r="I45" s="23"/>
      <c r="J45" s="23"/>
      <c r="K45" s="23"/>
      <c r="L45" s="23"/>
      <c r="M45" s="23"/>
      <c r="N45" s="23"/>
      <c r="O45" s="23"/>
      <c r="T45" s="2" t="s">
        <v>68</v>
      </c>
    </row>
    <row r="46" spans="1:20" ht="12.75">
      <c r="A46" s="23"/>
      <c r="B46" s="23"/>
      <c r="C46" s="23"/>
      <c r="D46" s="23"/>
      <c r="E46" s="44" t="s">
        <v>73</v>
      </c>
      <c r="F46" s="45">
        <f>IF(F40="Option A",U49,V49)</f>
        <v>7.471264367816092</v>
      </c>
      <c r="G46" s="43" t="s">
        <v>17</v>
      </c>
      <c r="H46" s="23"/>
      <c r="I46" s="23"/>
      <c r="J46" s="23"/>
      <c r="K46" s="23"/>
      <c r="L46" s="23"/>
      <c r="M46" s="23"/>
      <c r="N46" s="23"/>
      <c r="O46" s="23"/>
      <c r="T46" s="2" t="s">
        <v>69</v>
      </c>
    </row>
    <row r="47" spans="1:22" ht="12.75">
      <c r="A47" s="23"/>
      <c r="B47" s="23"/>
      <c r="C47" s="23"/>
      <c r="D47" s="23"/>
      <c r="E47" s="44" t="s">
        <v>74</v>
      </c>
      <c r="F47" s="42">
        <f>IF(F40="Option A",U50,V50)</f>
        <v>50</v>
      </c>
      <c r="G47" s="43" t="s">
        <v>17</v>
      </c>
      <c r="H47" s="23"/>
      <c r="I47" s="23"/>
      <c r="J47" s="23"/>
      <c r="K47" s="23"/>
      <c r="L47" s="23"/>
      <c r="M47" s="23"/>
      <c r="N47" s="23"/>
      <c r="O47" s="23"/>
      <c r="T47" s="2"/>
      <c r="U47" s="1" t="s">
        <v>76</v>
      </c>
      <c r="V47" s="1" t="s">
        <v>77</v>
      </c>
    </row>
    <row r="48" spans="1:22" ht="12.75">
      <c r="A48" s="23"/>
      <c r="B48" s="23"/>
      <c r="C48" s="23"/>
      <c r="D48" s="23"/>
      <c r="E48" s="46" t="s">
        <v>75</v>
      </c>
      <c r="F48" s="45">
        <f>IF(F40="Option A",U51,V51)</f>
        <v>4.517133956386292</v>
      </c>
      <c r="G48" s="43" t="s">
        <v>17</v>
      </c>
      <c r="H48" s="23"/>
      <c r="I48" s="23"/>
      <c r="J48" s="47"/>
      <c r="K48" s="23"/>
      <c r="L48" s="23"/>
      <c r="M48" s="23"/>
      <c r="N48" s="23"/>
      <c r="O48" s="23"/>
      <c r="T48" s="2" t="s">
        <v>84</v>
      </c>
      <c r="U48" s="22">
        <f>(F41-F42)*1000/20</f>
        <v>50</v>
      </c>
      <c r="V48" s="22">
        <f>(F41-F42)*1000/20</f>
        <v>50</v>
      </c>
    </row>
    <row r="49" spans="1:22" ht="12.75">
      <c r="A49" s="23"/>
      <c r="B49" s="23"/>
      <c r="C49" s="23"/>
      <c r="D49" s="23"/>
      <c r="E49" s="37" t="s">
        <v>85</v>
      </c>
      <c r="F49" s="31">
        <v>24.9</v>
      </c>
      <c r="G49" s="43" t="s">
        <v>17</v>
      </c>
      <c r="H49" s="23"/>
      <c r="I49" s="23"/>
      <c r="J49" s="47"/>
      <c r="K49" s="23"/>
      <c r="L49" s="23"/>
      <c r="M49" s="23"/>
      <c r="N49" s="23"/>
      <c r="O49" s="23"/>
      <c r="T49" s="2" t="s">
        <v>83</v>
      </c>
      <c r="U49" s="22">
        <f>(1.17*U48/(F42-1.17))-U50</f>
        <v>2.709359605911331</v>
      </c>
      <c r="V49" s="22">
        <f>1.17*V48/(F42-1.17)</f>
        <v>7.471264367816092</v>
      </c>
    </row>
    <row r="50" spans="1:22" ht="12.75">
      <c r="A50" s="23"/>
      <c r="B50" s="23"/>
      <c r="C50" s="23"/>
      <c r="D50" s="23"/>
      <c r="E50" s="37" t="s">
        <v>86</v>
      </c>
      <c r="F50" s="32">
        <v>10</v>
      </c>
      <c r="G50" s="43" t="s">
        <v>17</v>
      </c>
      <c r="H50" s="23"/>
      <c r="I50" s="23"/>
      <c r="J50" s="47"/>
      <c r="K50" s="23"/>
      <c r="L50" s="23"/>
      <c r="M50" s="23"/>
      <c r="N50" s="23"/>
      <c r="O50" s="23"/>
      <c r="T50" s="2" t="s">
        <v>82</v>
      </c>
      <c r="U50" s="22">
        <f>1.16*U48*F42/(F43*(F42-1.17))</f>
        <v>4.761904761904761</v>
      </c>
      <c r="V50" s="22">
        <f>(F43-F44)*1000/20</f>
        <v>50</v>
      </c>
    </row>
    <row r="51" spans="1:22" ht="12.75">
      <c r="A51" s="23"/>
      <c r="B51" s="23"/>
      <c r="C51" s="23"/>
      <c r="D51" s="23"/>
      <c r="E51" s="37" t="s">
        <v>87</v>
      </c>
      <c r="F51" s="32">
        <v>24.9</v>
      </c>
      <c r="G51" s="43" t="s">
        <v>17</v>
      </c>
      <c r="H51" s="23"/>
      <c r="I51" s="23"/>
      <c r="J51" s="47"/>
      <c r="K51" s="23"/>
      <c r="L51" s="23"/>
      <c r="M51" s="23"/>
      <c r="N51" s="23"/>
      <c r="O51" s="23"/>
      <c r="T51" s="2" t="s">
        <v>89</v>
      </c>
      <c r="U51" s="1"/>
      <c r="V51" s="22">
        <f>1.16*V50/(F43-1.16)</f>
        <v>4.517133956386292</v>
      </c>
    </row>
    <row r="52" spans="1:22" ht="12.75">
      <c r="A52" s="23"/>
      <c r="B52" s="23"/>
      <c r="C52" s="23"/>
      <c r="D52" s="23"/>
      <c r="E52" s="37" t="s">
        <v>88</v>
      </c>
      <c r="F52" s="32">
        <v>6.04</v>
      </c>
      <c r="G52" s="43" t="s">
        <v>17</v>
      </c>
      <c r="H52" s="23"/>
      <c r="I52" s="23"/>
      <c r="J52" s="23"/>
      <c r="K52" s="23"/>
      <c r="L52" s="23"/>
      <c r="M52" s="23"/>
      <c r="N52" s="23"/>
      <c r="O52" s="23"/>
      <c r="Q52" s="14"/>
      <c r="R52" s="15"/>
      <c r="S52" s="15"/>
      <c r="T52" s="16" t="s">
        <v>97</v>
      </c>
      <c r="U52" s="22">
        <f>1.154+(F49*((1.154/(F50+F51))+(15/1000)))</f>
        <v>2.3508409742120344</v>
      </c>
      <c r="V52" s="22">
        <f>1.154+(F$49*((1.154/F$50)+(15/1000)))</f>
        <v>4.4009599999999995</v>
      </c>
    </row>
    <row r="53" spans="1:22" ht="12.75">
      <c r="A53" s="23"/>
      <c r="B53" s="23"/>
      <c r="C53" s="23"/>
      <c r="D53" s="23"/>
      <c r="E53" s="23"/>
      <c r="F53" s="43"/>
      <c r="G53" s="23"/>
      <c r="H53" s="23"/>
      <c r="I53" s="23"/>
      <c r="J53" s="23"/>
      <c r="K53" s="23"/>
      <c r="L53" s="23"/>
      <c r="M53" s="23"/>
      <c r="N53" s="23"/>
      <c r="O53" s="23"/>
      <c r="Q53" s="17"/>
      <c r="R53" s="12"/>
      <c r="S53" s="12"/>
      <c r="T53" s="18" t="s">
        <v>98</v>
      </c>
      <c r="U53" s="22">
        <f>1.17+(F49*((1.17/(F50+F51))+(20/1000)))</f>
        <v>2.5027564469914036</v>
      </c>
      <c r="V53" s="22">
        <f>1.17+(F$49*((1.17/F$50)+(20/1000)))</f>
        <v>4.581299999999999</v>
      </c>
    </row>
    <row r="54" spans="1:22" ht="13.5" thickBot="1">
      <c r="A54" s="23"/>
      <c r="B54" s="23"/>
      <c r="C54" s="23"/>
      <c r="D54" s="23"/>
      <c r="E54" s="48" t="s">
        <v>113</v>
      </c>
      <c r="F54" s="49" t="s">
        <v>90</v>
      </c>
      <c r="G54" s="49" t="s">
        <v>91</v>
      </c>
      <c r="H54" s="49" t="s">
        <v>92</v>
      </c>
      <c r="I54" s="23"/>
      <c r="J54" s="23"/>
      <c r="K54" s="23"/>
      <c r="L54" s="23"/>
      <c r="M54" s="23"/>
      <c r="N54" s="23"/>
      <c r="O54" s="23"/>
      <c r="Q54" s="19"/>
      <c r="R54" s="20"/>
      <c r="S54" s="20"/>
      <c r="T54" s="21" t="s">
        <v>99</v>
      </c>
      <c r="U54" s="22">
        <f>1.183+(F49*((1.183/(F50+F51))+(26/1000)))</f>
        <v>2.674431518624642</v>
      </c>
      <c r="V54" s="22">
        <f>1.183+(F$49*((1.183/F$50)+(26/1000)))</f>
        <v>4.77607</v>
      </c>
    </row>
    <row r="55" spans="1:22" ht="12.75">
      <c r="A55" s="23"/>
      <c r="B55" s="23"/>
      <c r="C55" s="23"/>
      <c r="D55" s="23"/>
      <c r="E55" s="37" t="s">
        <v>93</v>
      </c>
      <c r="F55" s="50">
        <f>IF($F$40="Option A",U52,V52)</f>
        <v>4.4009599999999995</v>
      </c>
      <c r="G55" s="51">
        <f>IF($F$40="Option A",U53,V53)</f>
        <v>4.581299999999999</v>
      </c>
      <c r="H55" s="52">
        <f>IF($F$40="Option A",U54,V54)</f>
        <v>4.77607</v>
      </c>
      <c r="I55" s="23" t="s">
        <v>2</v>
      </c>
      <c r="J55" s="23"/>
      <c r="K55" s="23"/>
      <c r="L55" s="23"/>
      <c r="M55" s="23"/>
      <c r="N55" s="23"/>
      <c r="O55" s="23"/>
      <c r="T55" s="3" t="s">
        <v>100</v>
      </c>
      <c r="U55" s="22">
        <f>1.154*(F49+F50+F51)/(F50+F51)</f>
        <v>1.9773409742120343</v>
      </c>
      <c r="V55" s="22">
        <f>1.154*(F$49+F$50)/F$50</f>
        <v>4.02746</v>
      </c>
    </row>
    <row r="56" spans="1:22" ht="12.75">
      <c r="A56" s="23"/>
      <c r="B56" s="23"/>
      <c r="C56" s="23"/>
      <c r="D56" s="23"/>
      <c r="E56" s="37" t="s">
        <v>94</v>
      </c>
      <c r="F56" s="53">
        <f>IF($F$40="Option A",U55,V55)</f>
        <v>4.02746</v>
      </c>
      <c r="G56" s="36">
        <f>IF($F$40="Option A",U56,V56)</f>
        <v>4.0832999999999995</v>
      </c>
      <c r="H56" s="54">
        <f>IF($F$40="Option A",U57,V57)</f>
        <v>4.1286700000000005</v>
      </c>
      <c r="I56" s="23" t="s">
        <v>2</v>
      </c>
      <c r="J56" s="23"/>
      <c r="K56" s="23"/>
      <c r="L56" s="23"/>
      <c r="M56" s="23"/>
      <c r="N56" s="23"/>
      <c r="O56" s="23"/>
      <c r="T56" s="3" t="s">
        <v>101</v>
      </c>
      <c r="U56" s="22">
        <f>1.17*(F49+F50+F51)/(F50+F51)</f>
        <v>2.004756446991404</v>
      </c>
      <c r="V56" s="22">
        <f>1.17*(F$49+F$50)/F$50</f>
        <v>4.0832999999999995</v>
      </c>
    </row>
    <row r="57" spans="1:22" ht="12.75">
      <c r="A57" s="23"/>
      <c r="B57" s="23"/>
      <c r="C57" s="23"/>
      <c r="D57" s="23"/>
      <c r="E57" s="37" t="s">
        <v>95</v>
      </c>
      <c r="F57" s="53">
        <f>IF($F$40="Option A",U58,V58)</f>
        <v>5.849913907284767</v>
      </c>
      <c r="G57" s="36">
        <f>IF($F$40="Option A",U59,V59)</f>
        <v>5.942119205298012</v>
      </c>
      <c r="H57" s="54">
        <f>IF($F$40="Option A",U60,V60)</f>
        <v>6.070182119205298</v>
      </c>
      <c r="I57" s="23" t="s">
        <v>2</v>
      </c>
      <c r="J57" s="23"/>
      <c r="K57" s="23"/>
      <c r="L57" s="23"/>
      <c r="M57" s="23"/>
      <c r="N57" s="23"/>
      <c r="O57" s="23"/>
      <c r="T57" s="3" t="s">
        <v>102</v>
      </c>
      <c r="U57" s="22">
        <f>1.183*(F49+F50+F51)/(F50+F51)</f>
        <v>2.027031518624642</v>
      </c>
      <c r="V57" s="22">
        <f>1.183*(F$49+F$50)/F$50</f>
        <v>4.1286700000000005</v>
      </c>
    </row>
    <row r="58" spans="1:22" ht="13.5" thickBot="1">
      <c r="A58" s="23"/>
      <c r="B58" s="23"/>
      <c r="C58" s="23"/>
      <c r="D58" s="23"/>
      <c r="E58" s="37" t="s">
        <v>96</v>
      </c>
      <c r="F58" s="55">
        <f>IF($F$40="Option A",U61,V61)</f>
        <v>5.202513907284768</v>
      </c>
      <c r="G58" s="56">
        <f>IF($F$40="Option A",U62,V62)</f>
        <v>5.444119205298013</v>
      </c>
      <c r="H58" s="57">
        <f>IF($F$40="Option A",U63,V63)</f>
        <v>5.696682119205299</v>
      </c>
      <c r="I58" s="23" t="s">
        <v>2</v>
      </c>
      <c r="J58" s="23"/>
      <c r="K58" s="23"/>
      <c r="L58" s="23"/>
      <c r="M58" s="23"/>
      <c r="N58" s="23"/>
      <c r="O58" s="23"/>
      <c r="Q58" s="14"/>
      <c r="R58" s="15"/>
      <c r="S58" s="15"/>
      <c r="T58" s="16" t="s">
        <v>103</v>
      </c>
      <c r="U58" s="22">
        <f>1.142*(F$49+F$50+F$51)/F$51</f>
        <v>2.7426345381526103</v>
      </c>
      <c r="V58" s="22">
        <f>1.142*(F$51+F$52)/F$52</f>
        <v>5.849913907284767</v>
      </c>
    </row>
    <row r="59" spans="1:22" ht="12.75">
      <c r="A59" s="23"/>
      <c r="B59" s="23"/>
      <c r="C59" s="23"/>
      <c r="D59" s="23"/>
      <c r="E59" s="23"/>
      <c r="F59" s="47" t="s">
        <v>114</v>
      </c>
      <c r="G59" s="23"/>
      <c r="H59" s="23"/>
      <c r="I59" s="23"/>
      <c r="J59" s="23"/>
      <c r="K59" s="23"/>
      <c r="L59" s="23"/>
      <c r="M59" s="23"/>
      <c r="N59" s="23"/>
      <c r="O59" s="23"/>
      <c r="Q59" s="17"/>
      <c r="R59" s="12"/>
      <c r="S59" s="12"/>
      <c r="T59" s="18" t="s">
        <v>104</v>
      </c>
      <c r="U59" s="22">
        <f>1.16*(F$49+F$50+F$51)/F$51</f>
        <v>2.785863453815261</v>
      </c>
      <c r="V59" s="22">
        <f>1.16*(F$51+F$52)/F$52</f>
        <v>5.942119205298012</v>
      </c>
    </row>
    <row r="60" spans="1:22" ht="12.75">
      <c r="A60" s="23"/>
      <c r="B60" s="23"/>
      <c r="C60" s="23"/>
      <c r="D60" s="23"/>
      <c r="E60" s="23"/>
      <c r="F60" s="47" t="s">
        <v>115</v>
      </c>
      <c r="G60" s="23"/>
      <c r="H60" s="23"/>
      <c r="I60" s="23"/>
      <c r="J60" s="23"/>
      <c r="K60" s="23"/>
      <c r="L60" s="23"/>
      <c r="M60" s="23"/>
      <c r="N60" s="23"/>
      <c r="O60" s="23"/>
      <c r="Q60" s="19"/>
      <c r="R60" s="20"/>
      <c r="S60" s="20"/>
      <c r="T60" s="21" t="s">
        <v>105</v>
      </c>
      <c r="U60" s="22">
        <f>1.185*(F$49+F$50+F$51)/F$51</f>
        <v>2.8459036144578316</v>
      </c>
      <c r="V60" s="22">
        <f>1.185*(F$51+F$52)/F$52</f>
        <v>6.070182119205298</v>
      </c>
    </row>
    <row r="61" spans="1:22" ht="12.75">
      <c r="A61" s="23"/>
      <c r="B61" s="23"/>
      <c r="C61" s="23"/>
      <c r="D61" s="23"/>
      <c r="E61" s="23"/>
      <c r="F61" s="23"/>
      <c r="G61" s="23"/>
      <c r="H61" s="23"/>
      <c r="I61" s="23"/>
      <c r="J61" s="23"/>
      <c r="K61" s="23"/>
      <c r="L61" s="23"/>
      <c r="M61" s="23"/>
      <c r="N61" s="23"/>
      <c r="O61" s="23"/>
      <c r="T61" s="3" t="s">
        <v>106</v>
      </c>
      <c r="U61" s="22">
        <f>1.142+((F$49+F$50)*((1.142/F$51)-(26/1000)))</f>
        <v>1.8352345381526103</v>
      </c>
      <c r="V61" s="22">
        <f>1.142+(F$51*((1.142/F$52)-(26/1000)))</f>
        <v>5.202513907284768</v>
      </c>
    </row>
    <row r="62" spans="1:22" ht="15.75">
      <c r="A62" s="23"/>
      <c r="B62" s="24" t="s">
        <v>118</v>
      </c>
      <c r="C62" s="23"/>
      <c r="D62" s="23"/>
      <c r="E62" s="58" t="s">
        <v>120</v>
      </c>
      <c r="F62" s="30">
        <v>100</v>
      </c>
      <c r="G62" s="23" t="s">
        <v>17</v>
      </c>
      <c r="H62" s="23"/>
      <c r="I62" s="23"/>
      <c r="J62" s="23"/>
      <c r="K62" s="23"/>
      <c r="L62" s="23"/>
      <c r="M62" s="23"/>
      <c r="N62" s="23"/>
      <c r="O62" s="23"/>
      <c r="T62" s="3" t="s">
        <v>107</v>
      </c>
      <c r="U62" s="22">
        <f>1.16+((F$49+F$50)*((1.16/F$51)-(20/1000)))</f>
        <v>2.087863453815261</v>
      </c>
      <c r="V62" s="22">
        <f>1.16+(F$51*((1.16/F$52)-(20/1000)))</f>
        <v>5.444119205298013</v>
      </c>
    </row>
    <row r="63" spans="1:22" ht="12.75">
      <c r="A63" s="23"/>
      <c r="B63" s="23"/>
      <c r="C63" s="23"/>
      <c r="D63" s="23"/>
      <c r="E63" s="23"/>
      <c r="F63" s="23"/>
      <c r="G63" s="23"/>
      <c r="H63" s="23"/>
      <c r="I63" s="23"/>
      <c r="J63" s="23"/>
      <c r="K63" s="23"/>
      <c r="L63" s="23"/>
      <c r="M63" s="23"/>
      <c r="N63" s="23"/>
      <c r="O63" s="23"/>
      <c r="T63" s="3" t="s">
        <v>108</v>
      </c>
      <c r="U63" s="22">
        <f>1.185+((F$49+F$50)*((1.185/F$51)-(15/1000)))</f>
        <v>2.3224036144578317</v>
      </c>
      <c r="V63" s="22">
        <f>1.185+(F$51*((1.185/F$52)-(15/1000)))</f>
        <v>5.696682119205299</v>
      </c>
    </row>
    <row r="64" spans="1:15" ht="13.5" thickBot="1">
      <c r="A64" s="23"/>
      <c r="B64" s="23"/>
      <c r="C64" s="23"/>
      <c r="D64" s="23"/>
      <c r="E64" s="23"/>
      <c r="F64" s="23"/>
      <c r="G64" s="23"/>
      <c r="H64" s="23"/>
      <c r="I64" s="23"/>
      <c r="J64" s="23"/>
      <c r="K64" s="23"/>
      <c r="L64" s="23"/>
      <c r="M64" s="23"/>
      <c r="N64" s="23"/>
      <c r="O64" s="23"/>
    </row>
    <row r="65" spans="1:15" ht="16.5" thickTop="1">
      <c r="A65" s="23"/>
      <c r="B65" s="23"/>
      <c r="C65" s="23"/>
      <c r="D65" s="23"/>
      <c r="E65" s="70" t="s">
        <v>119</v>
      </c>
      <c r="F65" s="71">
        <f>F19</f>
        <v>15</v>
      </c>
      <c r="G65" s="72" t="s">
        <v>6</v>
      </c>
      <c r="H65" s="23"/>
      <c r="I65" s="23"/>
      <c r="J65" s="23"/>
      <c r="K65" s="23"/>
      <c r="L65" s="23"/>
      <c r="M65" s="23"/>
      <c r="N65" s="23"/>
      <c r="O65" s="23"/>
    </row>
    <row r="66" spans="1:15" ht="15.75">
      <c r="A66" s="23"/>
      <c r="B66" s="23"/>
      <c r="C66" s="23"/>
      <c r="D66" s="23"/>
      <c r="E66" s="73" t="s">
        <v>43</v>
      </c>
      <c r="F66" s="34">
        <f>F27</f>
        <v>56</v>
      </c>
      <c r="G66" s="74" t="s">
        <v>17</v>
      </c>
      <c r="H66" s="23"/>
      <c r="I66" s="23"/>
      <c r="J66" s="23"/>
      <c r="K66" s="23"/>
      <c r="L66" s="23"/>
      <c r="M66" s="23"/>
      <c r="N66" s="23"/>
      <c r="O66" s="23"/>
    </row>
    <row r="67" spans="1:15" ht="15.75">
      <c r="A67" s="23"/>
      <c r="B67" s="23"/>
      <c r="C67" s="23"/>
      <c r="D67" s="23"/>
      <c r="E67" s="73" t="s">
        <v>44</v>
      </c>
      <c r="F67" s="34">
        <f>F34</f>
        <v>0.22</v>
      </c>
      <c r="G67" s="74" t="s">
        <v>22</v>
      </c>
      <c r="H67" s="23"/>
      <c r="I67" s="23"/>
      <c r="J67" s="23"/>
      <c r="K67" s="23"/>
      <c r="L67" s="23"/>
      <c r="M67" s="23"/>
      <c r="N67" s="23"/>
      <c r="O67" s="23"/>
    </row>
    <row r="68" spans="1:15" ht="12.75">
      <c r="A68" s="23"/>
      <c r="B68" s="23"/>
      <c r="C68" s="23"/>
      <c r="D68" s="23"/>
      <c r="E68" s="73" t="s">
        <v>37</v>
      </c>
      <c r="F68" s="36">
        <f>F49</f>
        <v>24.9</v>
      </c>
      <c r="G68" s="74" t="s">
        <v>17</v>
      </c>
      <c r="H68" s="23"/>
      <c r="I68" s="23"/>
      <c r="J68" s="23"/>
      <c r="K68" s="23"/>
      <c r="L68" s="23"/>
      <c r="M68" s="23"/>
      <c r="N68" s="23"/>
      <c r="O68" s="23"/>
    </row>
    <row r="69" spans="1:15" ht="12.75">
      <c r="A69" s="23"/>
      <c r="B69" s="23"/>
      <c r="C69" s="23"/>
      <c r="D69" s="23"/>
      <c r="E69" s="73" t="s">
        <v>38</v>
      </c>
      <c r="F69" s="38">
        <f>F50</f>
        <v>10</v>
      </c>
      <c r="G69" s="74" t="s">
        <v>17</v>
      </c>
      <c r="H69" s="23"/>
      <c r="I69" s="23"/>
      <c r="J69" s="23"/>
      <c r="K69" s="23"/>
      <c r="L69" s="23"/>
      <c r="M69" s="23"/>
      <c r="N69" s="23"/>
      <c r="O69" s="23"/>
    </row>
    <row r="70" spans="1:15" ht="12.75">
      <c r="A70" s="23"/>
      <c r="B70" s="23"/>
      <c r="C70" s="23"/>
      <c r="D70" s="23"/>
      <c r="E70" s="73" t="s">
        <v>39</v>
      </c>
      <c r="F70" s="38">
        <f>F51</f>
        <v>24.9</v>
      </c>
      <c r="G70" s="74" t="s">
        <v>17</v>
      </c>
      <c r="H70" s="23"/>
      <c r="I70" s="23"/>
      <c r="J70" s="23"/>
      <c r="K70" s="23"/>
      <c r="L70" s="23"/>
      <c r="M70" s="23"/>
      <c r="N70" s="23"/>
      <c r="O70" s="23"/>
    </row>
    <row r="71" spans="1:15" ht="12.75">
      <c r="A71" s="23"/>
      <c r="B71" s="23"/>
      <c r="C71" s="23"/>
      <c r="D71" s="23"/>
      <c r="E71" s="73" t="s">
        <v>40</v>
      </c>
      <c r="F71" s="75">
        <f>IF(F40="Option A","N/A",F52)</f>
        <v>6.04</v>
      </c>
      <c r="G71" s="74" t="s">
        <v>17</v>
      </c>
      <c r="H71" s="23"/>
      <c r="I71" s="23"/>
      <c r="J71" s="60"/>
      <c r="K71" s="23"/>
      <c r="L71" s="23"/>
      <c r="M71" s="23"/>
      <c r="N71" s="23"/>
      <c r="O71" s="23"/>
    </row>
    <row r="72" spans="1:15" ht="15.75">
      <c r="A72" s="23"/>
      <c r="B72" s="23"/>
      <c r="C72" s="23"/>
      <c r="D72" s="23"/>
      <c r="E72" s="73" t="s">
        <v>117</v>
      </c>
      <c r="F72" s="76">
        <v>0.01</v>
      </c>
      <c r="G72" s="74" t="s">
        <v>22</v>
      </c>
      <c r="H72" s="23"/>
      <c r="I72" s="23"/>
      <c r="J72" s="23"/>
      <c r="K72" s="23"/>
      <c r="L72" s="23"/>
      <c r="M72" s="23"/>
      <c r="N72" s="23"/>
      <c r="O72" s="23"/>
    </row>
    <row r="73" spans="1:15" ht="15.75">
      <c r="A73" s="23"/>
      <c r="B73" s="23"/>
      <c r="C73" s="23"/>
      <c r="D73" s="23"/>
      <c r="E73" s="73" t="s">
        <v>121</v>
      </c>
      <c r="F73" s="77">
        <f>F62</f>
        <v>100</v>
      </c>
      <c r="G73" s="74" t="s">
        <v>17</v>
      </c>
      <c r="H73" s="23"/>
      <c r="I73" s="23"/>
      <c r="J73" s="23"/>
      <c r="K73" s="23"/>
      <c r="L73" s="23"/>
      <c r="M73" s="23"/>
      <c r="N73" s="23"/>
      <c r="O73" s="23"/>
    </row>
    <row r="74" spans="1:15" ht="12.75">
      <c r="A74" s="23"/>
      <c r="B74" s="23"/>
      <c r="C74" s="23"/>
      <c r="D74" s="23"/>
      <c r="E74" s="73" t="s">
        <v>130</v>
      </c>
      <c r="F74" s="36">
        <f>F21</f>
        <v>3.3333333333333335</v>
      </c>
      <c r="G74" s="74" t="s">
        <v>4</v>
      </c>
      <c r="H74" s="23"/>
      <c r="I74" s="23"/>
      <c r="J74" s="23"/>
      <c r="K74" s="23"/>
      <c r="L74" s="23"/>
      <c r="M74" s="23"/>
      <c r="N74" s="23"/>
      <c r="O74" s="23"/>
    </row>
    <row r="75" spans="1:15" ht="13.5" thickBot="1">
      <c r="A75" s="23"/>
      <c r="B75" s="23"/>
      <c r="C75" s="23"/>
      <c r="D75" s="23"/>
      <c r="E75" s="78" t="s">
        <v>131</v>
      </c>
      <c r="F75" s="79">
        <f>F29</f>
        <v>16.091954022988507</v>
      </c>
      <c r="G75" s="80" t="s">
        <v>15</v>
      </c>
      <c r="H75" s="23"/>
      <c r="I75" s="23"/>
      <c r="J75" s="23"/>
      <c r="K75" s="23"/>
      <c r="L75" s="23"/>
      <c r="M75" s="23"/>
      <c r="N75" s="23"/>
      <c r="O75" s="23"/>
    </row>
    <row r="76" spans="1:15" ht="16.5" thickTop="1">
      <c r="A76" s="23"/>
      <c r="B76" s="23"/>
      <c r="C76" s="23"/>
      <c r="D76" s="35" t="s">
        <v>45</v>
      </c>
      <c r="E76" s="81" t="s">
        <v>116</v>
      </c>
      <c r="F76" s="82"/>
      <c r="G76" s="23"/>
      <c r="H76" s="23"/>
      <c r="I76" s="23"/>
      <c r="J76" s="23"/>
      <c r="K76" s="23"/>
      <c r="L76" s="23"/>
      <c r="M76" s="23"/>
      <c r="N76" s="23"/>
      <c r="O76" s="23"/>
    </row>
    <row r="77" spans="1:15" ht="15.75">
      <c r="A77" s="23"/>
      <c r="B77" s="23"/>
      <c r="C77" s="23"/>
      <c r="D77" s="23"/>
      <c r="E77" s="83" t="s">
        <v>0</v>
      </c>
      <c r="F77" s="23"/>
      <c r="G77" s="23"/>
      <c r="H77" s="23"/>
      <c r="I77" s="23"/>
      <c r="J77" s="23"/>
      <c r="K77" s="23"/>
      <c r="L77" s="23"/>
      <c r="M77" s="23"/>
      <c r="N77" s="23"/>
      <c r="O77" s="23"/>
    </row>
    <row r="78" spans="1:15" ht="12.75">
      <c r="A78" s="23"/>
      <c r="B78" s="23"/>
      <c r="C78" s="23"/>
      <c r="D78" s="23"/>
      <c r="E78" s="23"/>
      <c r="F78" s="23"/>
      <c r="G78" s="23"/>
      <c r="H78" s="23"/>
      <c r="I78" s="23"/>
      <c r="J78" s="23"/>
      <c r="K78" s="23"/>
      <c r="L78" s="23"/>
      <c r="M78" s="23"/>
      <c r="N78" s="23"/>
      <c r="O78" s="23"/>
    </row>
    <row r="79" spans="1:15" ht="12.75">
      <c r="A79" s="23"/>
      <c r="B79" s="23"/>
      <c r="C79" s="23"/>
      <c r="D79" s="23"/>
      <c r="E79" s="23"/>
      <c r="F79" s="93"/>
      <c r="G79" s="23"/>
      <c r="H79" s="23"/>
      <c r="I79" s="23"/>
      <c r="J79" s="23"/>
      <c r="K79" s="23"/>
      <c r="L79" s="23"/>
      <c r="M79" s="23"/>
      <c r="N79" s="23"/>
      <c r="O79" s="23"/>
    </row>
    <row r="80" spans="1:15" ht="13.5" thickBot="1">
      <c r="A80" s="23"/>
      <c r="B80" s="24" t="s">
        <v>132</v>
      </c>
      <c r="C80" s="23"/>
      <c r="D80" s="23"/>
      <c r="E80" s="23"/>
      <c r="F80" s="85" t="s">
        <v>133</v>
      </c>
      <c r="G80" s="23"/>
      <c r="H80" s="23"/>
      <c r="I80" s="23"/>
      <c r="J80" s="23"/>
      <c r="K80" s="23"/>
      <c r="L80" s="23"/>
      <c r="M80" s="23"/>
      <c r="N80" s="23"/>
      <c r="O80" s="23"/>
    </row>
    <row r="81" spans="1:15" ht="15.75">
      <c r="A81" s="23"/>
      <c r="B81" s="23"/>
      <c r="C81" s="23"/>
      <c r="D81" s="23"/>
      <c r="E81" s="23"/>
      <c r="F81" s="86" t="s">
        <v>134</v>
      </c>
      <c r="G81" s="87" t="s">
        <v>135</v>
      </c>
      <c r="H81" s="23"/>
      <c r="I81" s="23"/>
      <c r="J81" s="23"/>
      <c r="K81" s="23"/>
      <c r="L81" s="23"/>
      <c r="M81" s="23"/>
      <c r="N81" s="23"/>
      <c r="O81" s="23"/>
    </row>
    <row r="82" spans="1:15" ht="12.75">
      <c r="A82" s="23"/>
      <c r="B82" s="23"/>
      <c r="C82" s="23"/>
      <c r="D82" s="23"/>
      <c r="E82" s="23"/>
      <c r="F82" s="88" t="s">
        <v>24</v>
      </c>
      <c r="G82" s="89" t="s">
        <v>25</v>
      </c>
      <c r="H82" s="23"/>
      <c r="I82" s="23"/>
      <c r="J82" s="23"/>
      <c r="K82" s="23"/>
      <c r="L82" s="23"/>
      <c r="M82" s="23"/>
      <c r="N82" s="23"/>
      <c r="O82" s="23"/>
    </row>
    <row r="83" spans="1:15" ht="12.75">
      <c r="A83" s="23"/>
      <c r="B83" s="23"/>
      <c r="C83" s="23"/>
      <c r="D83" s="23"/>
      <c r="E83" s="23"/>
      <c r="F83" s="90">
        <v>1</v>
      </c>
      <c r="G83" s="68">
        <v>60</v>
      </c>
      <c r="H83" s="23"/>
      <c r="I83" s="23"/>
      <c r="J83" s="23"/>
      <c r="K83" s="23"/>
      <c r="L83" s="23"/>
      <c r="M83" s="23"/>
      <c r="N83" s="23"/>
      <c r="O83" s="23"/>
    </row>
    <row r="84" spans="1:15" ht="12.75">
      <c r="A84" s="23"/>
      <c r="B84" s="23"/>
      <c r="C84" s="23"/>
      <c r="D84" s="23"/>
      <c r="E84" s="23"/>
      <c r="F84" s="90">
        <v>5</v>
      </c>
      <c r="G84" s="68">
        <v>20</v>
      </c>
      <c r="H84" s="23"/>
      <c r="I84" s="23"/>
      <c r="J84" s="23"/>
      <c r="K84" s="23"/>
      <c r="L84" s="23"/>
      <c r="M84" s="23"/>
      <c r="N84" s="23"/>
      <c r="O84" s="23"/>
    </row>
    <row r="85" spans="1:15" ht="12.75">
      <c r="A85" s="23"/>
      <c r="B85" s="23"/>
      <c r="C85" s="23"/>
      <c r="D85" s="23"/>
      <c r="E85" s="23"/>
      <c r="F85" s="90">
        <v>10</v>
      </c>
      <c r="G85" s="68">
        <v>5</v>
      </c>
      <c r="H85" s="23"/>
      <c r="I85" s="23"/>
      <c r="J85" s="23"/>
      <c r="K85" s="23"/>
      <c r="L85" s="23"/>
      <c r="M85" s="23"/>
      <c r="N85" s="23"/>
      <c r="O85" s="23"/>
    </row>
    <row r="86" spans="1:15" ht="12.75">
      <c r="A86" s="23"/>
      <c r="B86" s="23"/>
      <c r="C86" s="23"/>
      <c r="D86" s="23"/>
      <c r="E86" s="23"/>
      <c r="F86" s="90">
        <v>15</v>
      </c>
      <c r="G86" s="68">
        <v>2.5</v>
      </c>
      <c r="H86" s="23"/>
      <c r="I86" s="23"/>
      <c r="J86" s="23"/>
      <c r="K86" s="23"/>
      <c r="L86" s="23"/>
      <c r="M86" s="23"/>
      <c r="N86" s="23"/>
      <c r="O86" s="23"/>
    </row>
    <row r="87" spans="1:15" ht="13.5" thickBot="1">
      <c r="A87" s="23"/>
      <c r="B87" s="23"/>
      <c r="C87" s="23"/>
      <c r="D87" s="23"/>
      <c r="E87" s="23"/>
      <c r="F87" s="91">
        <v>20</v>
      </c>
      <c r="G87" s="69">
        <v>1.2</v>
      </c>
      <c r="H87" s="23"/>
      <c r="I87" s="23"/>
      <c r="J87" s="23"/>
      <c r="K87" s="23"/>
      <c r="L87" s="23"/>
      <c r="M87" s="23"/>
      <c r="N87" s="23"/>
      <c r="O87" s="23"/>
    </row>
    <row r="88" spans="1:15" ht="12.75">
      <c r="A88" s="23"/>
      <c r="B88" s="23"/>
      <c r="C88" s="23"/>
      <c r="D88" s="23"/>
      <c r="E88" s="23"/>
      <c r="F88" s="23"/>
      <c r="G88" s="23"/>
      <c r="H88" s="23"/>
      <c r="I88" s="23"/>
      <c r="J88" s="23"/>
      <c r="K88" s="23"/>
      <c r="L88" s="23"/>
      <c r="M88" s="23"/>
      <c r="N88" s="23"/>
      <c r="O88" s="23"/>
    </row>
    <row r="89" spans="1:15" ht="12.75">
      <c r="A89" s="23"/>
      <c r="B89" s="23"/>
      <c r="C89" s="23"/>
      <c r="D89" s="23"/>
      <c r="E89" s="23"/>
      <c r="F89" s="23"/>
      <c r="G89" s="23"/>
      <c r="H89" s="23"/>
      <c r="I89" s="23"/>
      <c r="J89" s="23"/>
      <c r="K89" s="23"/>
      <c r="L89" s="23"/>
      <c r="M89" s="23"/>
      <c r="N89" s="23"/>
      <c r="O89" s="23"/>
    </row>
    <row r="90" spans="1:15" ht="12.75">
      <c r="A90" s="23"/>
      <c r="B90" s="23"/>
      <c r="C90" s="23"/>
      <c r="D90" s="23"/>
      <c r="E90" s="23"/>
      <c r="F90" s="23"/>
      <c r="G90" s="23"/>
      <c r="H90" s="23"/>
      <c r="I90" s="23"/>
      <c r="J90" s="23"/>
      <c r="K90" s="23"/>
      <c r="L90" s="23"/>
      <c r="M90" s="23"/>
      <c r="N90" s="23"/>
      <c r="O90" s="23"/>
    </row>
    <row r="91" spans="1:15" ht="12.75">
      <c r="A91" s="23"/>
      <c r="B91" s="23"/>
      <c r="C91" s="23"/>
      <c r="D91" s="23"/>
      <c r="E91" s="23"/>
      <c r="F91" s="23"/>
      <c r="G91" s="23"/>
      <c r="H91" s="23"/>
      <c r="I91" s="23"/>
      <c r="J91" s="23"/>
      <c r="K91" s="23"/>
      <c r="L91" s="23"/>
      <c r="M91" s="23"/>
      <c r="N91" s="23"/>
      <c r="O91" s="23"/>
    </row>
    <row r="92" spans="1:15" ht="12.75">
      <c r="A92" s="23"/>
      <c r="B92" s="23"/>
      <c r="C92" s="23"/>
      <c r="D92" s="23"/>
      <c r="E92" s="23"/>
      <c r="F92" s="23"/>
      <c r="G92" s="23"/>
      <c r="H92" s="23"/>
      <c r="I92" s="23"/>
      <c r="J92" s="23"/>
      <c r="K92" s="23"/>
      <c r="L92" s="23"/>
      <c r="M92" s="23"/>
      <c r="N92" s="23"/>
      <c r="O92" s="23"/>
    </row>
    <row r="93" spans="1:15" ht="12.75">
      <c r="A93" s="23"/>
      <c r="B93" s="23"/>
      <c r="C93" s="23"/>
      <c r="D93" s="23"/>
      <c r="E93" s="23"/>
      <c r="F93" s="23"/>
      <c r="G93" s="23"/>
      <c r="H93" s="23"/>
      <c r="I93" s="23"/>
      <c r="J93" s="23"/>
      <c r="K93" s="23"/>
      <c r="L93" s="23"/>
      <c r="M93" s="23"/>
      <c r="N93" s="23"/>
      <c r="O93" s="23"/>
    </row>
    <row r="94" spans="1:18" ht="12.75">
      <c r="A94" s="23"/>
      <c r="B94" s="23"/>
      <c r="C94" s="23"/>
      <c r="D94" s="23"/>
      <c r="E94" s="23"/>
      <c r="F94" s="23"/>
      <c r="G94" s="23"/>
      <c r="H94" s="23"/>
      <c r="I94" s="23"/>
      <c r="J94" s="23"/>
      <c r="K94" s="23"/>
      <c r="L94" s="23"/>
      <c r="M94" s="23"/>
      <c r="N94" s="23"/>
      <c r="O94" s="23"/>
      <c r="R94" s="64" t="s">
        <v>136</v>
      </c>
    </row>
    <row r="95" spans="1:21" ht="12.75">
      <c r="A95" s="23"/>
      <c r="B95" s="23"/>
      <c r="C95" s="23"/>
      <c r="D95" s="23"/>
      <c r="E95" s="23"/>
      <c r="F95" s="23"/>
      <c r="G95" s="23"/>
      <c r="H95" s="23"/>
      <c r="I95" s="23"/>
      <c r="J95" s="23"/>
      <c r="K95" s="23"/>
      <c r="L95" s="23"/>
      <c r="M95" s="23"/>
      <c r="N95" s="23"/>
      <c r="O95" s="23"/>
      <c r="T95" s="2" t="s">
        <v>137</v>
      </c>
      <c r="U95" s="1">
        <f>F19</f>
        <v>15</v>
      </c>
    </row>
    <row r="96" spans="1:21" ht="15.75">
      <c r="A96" s="23"/>
      <c r="B96" s="23"/>
      <c r="C96" s="23"/>
      <c r="D96" s="23"/>
      <c r="E96" s="23"/>
      <c r="F96" s="23"/>
      <c r="G96" s="23"/>
      <c r="H96" s="23"/>
      <c r="I96" s="23"/>
      <c r="J96" s="23"/>
      <c r="K96" s="23"/>
      <c r="L96" s="23"/>
      <c r="M96" s="23"/>
      <c r="N96" s="23"/>
      <c r="O96" s="23"/>
      <c r="T96" s="2" t="s">
        <v>138</v>
      </c>
      <c r="U96" s="1">
        <f>F27</f>
        <v>56</v>
      </c>
    </row>
    <row r="97" spans="1:21" ht="12.75">
      <c r="A97" s="23"/>
      <c r="B97" s="23"/>
      <c r="C97" s="23"/>
      <c r="D97" s="23"/>
      <c r="E97" s="23"/>
      <c r="F97" s="23"/>
      <c r="G97" s="23"/>
      <c r="H97" s="23"/>
      <c r="I97" s="23"/>
      <c r="J97" s="23"/>
      <c r="K97" s="23"/>
      <c r="L97" s="23"/>
      <c r="M97" s="23"/>
      <c r="N97" s="23"/>
      <c r="O97" s="23"/>
      <c r="T97" s="2" t="s">
        <v>139</v>
      </c>
      <c r="U97" s="1">
        <f>F13</f>
        <v>6</v>
      </c>
    </row>
    <row r="98" spans="1:15" ht="12.75">
      <c r="A98" s="23"/>
      <c r="B98" s="23"/>
      <c r="C98" s="23"/>
      <c r="D98" s="23"/>
      <c r="E98" s="23"/>
      <c r="F98" s="23"/>
      <c r="G98" s="23"/>
      <c r="H98" s="23"/>
      <c r="I98" s="23"/>
      <c r="J98" s="23"/>
      <c r="K98" s="23"/>
      <c r="L98" s="23"/>
      <c r="M98" s="23"/>
      <c r="N98" s="23"/>
      <c r="O98" s="23"/>
    </row>
    <row r="99" spans="1:21" ht="12.75">
      <c r="A99" s="23"/>
      <c r="B99" s="23"/>
      <c r="C99" s="23"/>
      <c r="D99" s="23"/>
      <c r="E99" s="23"/>
      <c r="F99" s="23"/>
      <c r="G99" s="23"/>
      <c r="H99" s="23"/>
      <c r="I99" s="23"/>
      <c r="J99" s="23"/>
      <c r="K99" s="23"/>
      <c r="L99" s="23"/>
      <c r="M99" s="23"/>
      <c r="N99" s="23"/>
      <c r="O99" s="23"/>
      <c r="T99" s="2" t="s">
        <v>140</v>
      </c>
      <c r="U99" s="22">
        <f>U25</f>
        <v>3</v>
      </c>
    </row>
    <row r="100" spans="1:21" ht="12.75">
      <c r="A100" s="23"/>
      <c r="B100" s="23"/>
      <c r="C100" s="23"/>
      <c r="D100" s="23"/>
      <c r="E100" s="23"/>
      <c r="F100" s="23"/>
      <c r="G100" s="23"/>
      <c r="H100" s="23"/>
      <c r="I100" s="23"/>
      <c r="J100" s="23"/>
      <c r="K100" s="23"/>
      <c r="L100" s="23"/>
      <c r="M100" s="23"/>
      <c r="N100" s="23"/>
      <c r="O100" s="23"/>
      <c r="T100" s="2" t="s">
        <v>141</v>
      </c>
      <c r="U100" s="22">
        <f>U26</f>
        <v>3.3333333333333335</v>
      </c>
    </row>
    <row r="101" spans="1:21" ht="12.75">
      <c r="A101" s="23"/>
      <c r="B101" s="23"/>
      <c r="C101" s="23"/>
      <c r="D101" s="23"/>
      <c r="E101" s="23"/>
      <c r="F101" s="23"/>
      <c r="G101" s="23"/>
      <c r="H101" s="23"/>
      <c r="I101" s="23"/>
      <c r="J101" s="23"/>
      <c r="K101" s="23"/>
      <c r="L101" s="23"/>
      <c r="M101" s="23"/>
      <c r="N101" s="23"/>
      <c r="O101" s="23"/>
      <c r="T101" s="2" t="s">
        <v>142</v>
      </c>
      <c r="U101" s="22">
        <f>U27</f>
        <v>3.6666666666666665</v>
      </c>
    </row>
    <row r="102" spans="1:15" ht="12.75">
      <c r="A102" s="23"/>
      <c r="B102" s="23"/>
      <c r="C102" s="23"/>
      <c r="D102" s="23"/>
      <c r="E102" s="23"/>
      <c r="F102" s="23"/>
      <c r="G102" s="23"/>
      <c r="H102" s="23"/>
      <c r="I102" s="23"/>
      <c r="J102" s="23"/>
      <c r="K102" s="23"/>
      <c r="L102" s="23"/>
      <c r="M102" s="23"/>
      <c r="N102" s="23"/>
      <c r="O102" s="23"/>
    </row>
    <row r="103" spans="1:21" ht="12.75">
      <c r="A103" s="23"/>
      <c r="B103" s="23"/>
      <c r="C103" s="23"/>
      <c r="D103" s="23"/>
      <c r="E103" s="23"/>
      <c r="F103" s="23"/>
      <c r="G103" s="23"/>
      <c r="H103" s="23"/>
      <c r="I103" s="23"/>
      <c r="J103" s="23"/>
      <c r="K103" s="23"/>
      <c r="L103" s="23"/>
      <c r="M103" s="23"/>
      <c r="N103" s="23"/>
      <c r="O103" s="23"/>
      <c r="T103" s="2" t="s">
        <v>143</v>
      </c>
      <c r="U103" s="9">
        <f>U32</f>
        <v>12.229885057471265</v>
      </c>
    </row>
    <row r="104" spans="1:21" ht="12.75">
      <c r="A104" s="23"/>
      <c r="B104" s="23"/>
      <c r="C104" s="23"/>
      <c r="D104" s="23"/>
      <c r="E104" s="23"/>
      <c r="F104" s="23"/>
      <c r="G104" s="23"/>
      <c r="H104" s="23"/>
      <c r="I104" s="23"/>
      <c r="J104" s="23"/>
      <c r="K104" s="23"/>
      <c r="L104" s="23"/>
      <c r="M104" s="23"/>
      <c r="N104" s="23"/>
      <c r="O104" s="23"/>
      <c r="T104" s="2" t="s">
        <v>144</v>
      </c>
      <c r="U104" s="9">
        <f>U31</f>
        <v>16.091954022988507</v>
      </c>
    </row>
    <row r="105" spans="1:21" ht="12.75">
      <c r="A105" s="23"/>
      <c r="B105" s="23"/>
      <c r="C105" s="23"/>
      <c r="D105" s="23"/>
      <c r="E105" s="23"/>
      <c r="F105" s="23"/>
      <c r="G105" s="23"/>
      <c r="H105" s="23"/>
      <c r="I105" s="23"/>
      <c r="J105" s="23"/>
      <c r="K105" s="23"/>
      <c r="L105" s="23"/>
      <c r="M105" s="23"/>
      <c r="N105" s="23"/>
      <c r="O105" s="23"/>
      <c r="T105" s="2" t="s">
        <v>145</v>
      </c>
      <c r="U105" s="9">
        <f>U33</f>
        <v>19.95402298850575</v>
      </c>
    </row>
    <row r="106" spans="1:35" ht="12.75">
      <c r="A106" s="23"/>
      <c r="B106" s="23"/>
      <c r="C106" s="23"/>
      <c r="D106" s="23"/>
      <c r="E106" s="23"/>
      <c r="F106" s="23"/>
      <c r="G106" s="23"/>
      <c r="H106" s="23"/>
      <c r="I106" s="23"/>
      <c r="J106" s="23"/>
      <c r="K106" s="23"/>
      <c r="L106" s="23"/>
      <c r="M106" s="23"/>
      <c r="N106" s="23"/>
      <c r="O106" s="23"/>
      <c r="AI106" t="s">
        <v>163</v>
      </c>
    </row>
    <row r="107" spans="1:35" ht="12.75">
      <c r="A107" s="23"/>
      <c r="B107" s="23"/>
      <c r="C107" s="23"/>
      <c r="D107" s="23"/>
      <c r="E107" s="23"/>
      <c r="F107" s="23"/>
      <c r="G107" s="23"/>
      <c r="H107" s="23"/>
      <c r="I107" s="23"/>
      <c r="J107" s="23"/>
      <c r="K107" s="23"/>
      <c r="L107" s="23"/>
      <c r="M107" s="23"/>
      <c r="N107" s="23"/>
      <c r="O107" s="23"/>
      <c r="AI107" t="s">
        <v>155</v>
      </c>
    </row>
    <row r="108" spans="1:35" ht="12.75">
      <c r="A108" s="23"/>
      <c r="B108" s="23"/>
      <c r="C108" s="23"/>
      <c r="D108" s="23"/>
      <c r="E108" s="23"/>
      <c r="F108" s="23"/>
      <c r="G108" s="23"/>
      <c r="H108" s="23"/>
      <c r="I108" s="23"/>
      <c r="J108" s="23"/>
      <c r="K108" s="23"/>
      <c r="L108" s="23"/>
      <c r="M108" s="23"/>
      <c r="N108" s="23"/>
      <c r="O108" s="23"/>
      <c r="AI108" t="s">
        <v>156</v>
      </c>
    </row>
    <row r="109" spans="1:35" ht="12.75">
      <c r="A109" s="23"/>
      <c r="B109" s="23"/>
      <c r="C109" s="23"/>
      <c r="D109" s="23"/>
      <c r="E109" s="23"/>
      <c r="F109" s="23"/>
      <c r="G109" s="23"/>
      <c r="H109" s="23"/>
      <c r="I109" s="23"/>
      <c r="J109" s="23"/>
      <c r="K109" s="23"/>
      <c r="L109" s="23"/>
      <c r="M109" s="23"/>
      <c r="N109" s="23"/>
      <c r="O109" s="23"/>
      <c r="AI109" t="s">
        <v>157</v>
      </c>
    </row>
    <row r="110" spans="1:29" ht="12.75">
      <c r="A110" s="23"/>
      <c r="B110" s="23"/>
      <c r="C110" s="23"/>
      <c r="D110" s="23"/>
      <c r="E110" s="23"/>
      <c r="F110" s="23"/>
      <c r="G110" s="23"/>
      <c r="H110" s="23"/>
      <c r="I110" s="23"/>
      <c r="J110" s="23"/>
      <c r="K110" s="23"/>
      <c r="L110" s="23"/>
      <c r="M110" s="23"/>
      <c r="N110" s="23"/>
      <c r="O110" s="23"/>
      <c r="S110" t="s">
        <v>146</v>
      </c>
      <c r="T110" s="2"/>
      <c r="X110" t="s">
        <v>147</v>
      </c>
      <c r="AC110" t="s">
        <v>164</v>
      </c>
    </row>
    <row r="111" spans="1:36" ht="12.75">
      <c r="A111" s="23"/>
      <c r="B111" s="23"/>
      <c r="C111" s="23"/>
      <c r="D111" s="23"/>
      <c r="E111" s="23"/>
      <c r="F111" s="23"/>
      <c r="G111" s="23"/>
      <c r="H111" s="23"/>
      <c r="I111" s="23"/>
      <c r="J111" s="23"/>
      <c r="K111" s="23"/>
      <c r="L111" s="23"/>
      <c r="M111" s="23"/>
      <c r="N111" s="23"/>
      <c r="O111" s="23"/>
      <c r="S111" t="s">
        <v>148</v>
      </c>
      <c r="X111" t="s">
        <v>149</v>
      </c>
      <c r="AC111" t="s">
        <v>150</v>
      </c>
      <c r="AJ111" s="66" t="s">
        <v>158</v>
      </c>
    </row>
    <row r="112" spans="1:36" ht="12.75">
      <c r="A112" s="23"/>
      <c r="B112" s="23"/>
      <c r="C112" s="23"/>
      <c r="D112" s="23"/>
      <c r="E112" s="23"/>
      <c r="F112" s="23"/>
      <c r="G112" s="23"/>
      <c r="H112" s="23"/>
      <c r="I112" s="23"/>
      <c r="J112" s="23"/>
      <c r="K112" s="23"/>
      <c r="L112" s="23"/>
      <c r="M112" s="23"/>
      <c r="N112" s="23"/>
      <c r="O112" s="23"/>
      <c r="S112" s="8" t="s">
        <v>151</v>
      </c>
      <c r="T112" s="8" t="s">
        <v>152</v>
      </c>
      <c r="U112" s="8" t="s">
        <v>153</v>
      </c>
      <c r="V112" s="8" t="s">
        <v>154</v>
      </c>
      <c r="X112" s="8" t="s">
        <v>151</v>
      </c>
      <c r="Y112" s="8" t="s">
        <v>152</v>
      </c>
      <c r="Z112" s="8" t="s">
        <v>153</v>
      </c>
      <c r="AA112" s="8" t="s">
        <v>154</v>
      </c>
      <c r="AC112" s="8" t="s">
        <v>151</v>
      </c>
      <c r="AD112" s="63" t="s">
        <v>152</v>
      </c>
      <c r="AE112" s="63" t="s">
        <v>153</v>
      </c>
      <c r="AF112" s="63" t="s">
        <v>154</v>
      </c>
      <c r="AG112" s="63" t="s">
        <v>162</v>
      </c>
      <c r="AI112" s="11" t="s">
        <v>151</v>
      </c>
      <c r="AJ112" s="67" t="s">
        <v>159</v>
      </c>
    </row>
    <row r="113" spans="1:37" ht="12.75">
      <c r="A113" s="23"/>
      <c r="B113" s="23"/>
      <c r="C113" s="23"/>
      <c r="D113" s="23"/>
      <c r="E113" s="23"/>
      <c r="F113" s="23"/>
      <c r="G113" s="23"/>
      <c r="H113" s="23"/>
      <c r="I113" s="23"/>
      <c r="J113" s="23"/>
      <c r="K113" s="23"/>
      <c r="L113" s="23"/>
      <c r="M113" s="23"/>
      <c r="N113" s="23"/>
      <c r="O113" s="23"/>
      <c r="S113" s="8">
        <v>1</v>
      </c>
      <c r="T113" s="65">
        <f>$U$103/$S113</f>
        <v>12.229885057471265</v>
      </c>
      <c r="U113" s="65">
        <f>$U$104/$S113</f>
        <v>16.091954022988507</v>
      </c>
      <c r="V113" s="65">
        <f>$U$105/$S113</f>
        <v>19.95402298850575</v>
      </c>
      <c r="X113" s="8">
        <v>1</v>
      </c>
      <c r="Y113" s="65">
        <f>IF(T113&gt;$U$99,$U$99,T113)</f>
        <v>3</v>
      </c>
      <c r="Z113" s="65">
        <f>IF(U113&gt;$U$100,$U$100,U113)</f>
        <v>3.3333333333333335</v>
      </c>
      <c r="AA113" s="65">
        <f>IF(V113&gt;$U$101,$U$101,V113)</f>
        <v>3.6666666666666665</v>
      </c>
      <c r="AC113" s="8">
        <v>1</v>
      </c>
      <c r="AD113" s="65">
        <f>IF($AC113&gt;$U$97,0.0000000005,Y113)</f>
        <v>3</v>
      </c>
      <c r="AE113" s="65">
        <f>IF($AC113&gt;$U$97,0.0000000005,Z113)</f>
        <v>3.3333333333333335</v>
      </c>
      <c r="AF113" s="65">
        <f>IF($AC113&gt;$U$97,0.0000000005,AA113)</f>
        <v>3.6666666666666665</v>
      </c>
      <c r="AG113" s="65">
        <f>AJ113</f>
        <v>60</v>
      </c>
      <c r="AI113" s="8">
        <v>1</v>
      </c>
      <c r="AJ113" s="8">
        <f>G83</f>
        <v>60</v>
      </c>
      <c r="AK113" t="s">
        <v>160</v>
      </c>
    </row>
    <row r="114" spans="1:36" ht="12.75">
      <c r="A114" s="23"/>
      <c r="B114" s="23"/>
      <c r="C114" s="23"/>
      <c r="D114" s="23"/>
      <c r="E114" s="23"/>
      <c r="F114" s="23"/>
      <c r="G114" s="23"/>
      <c r="H114" s="23"/>
      <c r="I114" s="23"/>
      <c r="J114" s="23"/>
      <c r="K114" s="23"/>
      <c r="L114" s="23"/>
      <c r="M114" s="23"/>
      <c r="N114" s="23"/>
      <c r="O114" s="23"/>
      <c r="S114" s="8">
        <v>2</v>
      </c>
      <c r="T114" s="65">
        <f aca="true" t="shared" si="0" ref="T114:T129">$U$103/$S114</f>
        <v>6.114942528735632</v>
      </c>
      <c r="U114" s="65">
        <f aca="true" t="shared" si="1" ref="U114:U129">$U$104/$S114</f>
        <v>8.045977011494253</v>
      </c>
      <c r="V114" s="65">
        <f aca="true" t="shared" si="2" ref="V114:V129">$U$105/$S114</f>
        <v>9.977011494252874</v>
      </c>
      <c r="X114" s="8">
        <v>2</v>
      </c>
      <c r="Y114" s="65">
        <f aca="true" t="shared" si="3" ref="Y114:Y129">IF(T114&gt;$U$99,$U$99,T114)</f>
        <v>3</v>
      </c>
      <c r="Z114" s="65">
        <f aca="true" t="shared" si="4" ref="Z114:Z129">IF(U114&gt;$U$100,$U$100,U114)</f>
        <v>3.3333333333333335</v>
      </c>
      <c r="AA114" s="65">
        <f aca="true" t="shared" si="5" ref="AA114:AA129">IF(V114&gt;$U$101,$U$101,V114)</f>
        <v>3.6666666666666665</v>
      </c>
      <c r="AC114" s="8">
        <v>2</v>
      </c>
      <c r="AD114" s="65">
        <f aca="true" t="shared" si="6" ref="AD114:AF132">IF($AC114&gt;$U$97,0.0000000005,Y114)</f>
        <v>3</v>
      </c>
      <c r="AE114" s="65">
        <f t="shared" si="6"/>
        <v>3.3333333333333335</v>
      </c>
      <c r="AF114" s="65">
        <f t="shared" si="6"/>
        <v>3.6666666666666665</v>
      </c>
      <c r="AG114" s="65">
        <f aca="true" t="shared" si="7" ref="AG114:AG132">AJ114</f>
        <v>37.14285714285714</v>
      </c>
      <c r="AI114" s="8">
        <v>2</v>
      </c>
      <c r="AJ114" s="65">
        <f>AJ117+((AJ113-AJ117)*3/7)</f>
        <v>37.14285714285714</v>
      </c>
    </row>
    <row r="115" spans="1:36" ht="12.75">
      <c r="A115" s="23"/>
      <c r="B115" s="23"/>
      <c r="C115" s="23"/>
      <c r="D115" s="23"/>
      <c r="E115" s="23"/>
      <c r="F115" s="23"/>
      <c r="G115" s="23"/>
      <c r="H115" s="23"/>
      <c r="I115" s="23"/>
      <c r="J115" s="23"/>
      <c r="K115" s="23"/>
      <c r="L115" s="23"/>
      <c r="M115" s="23"/>
      <c r="N115" s="23"/>
      <c r="O115" s="23"/>
      <c r="S115" s="8">
        <v>3</v>
      </c>
      <c r="T115" s="65">
        <f t="shared" si="0"/>
        <v>4.076628352490421</v>
      </c>
      <c r="U115" s="65">
        <f t="shared" si="1"/>
        <v>5.363984674329502</v>
      </c>
      <c r="V115" s="65">
        <f t="shared" si="2"/>
        <v>6.6513409961685825</v>
      </c>
      <c r="X115" s="8">
        <v>3</v>
      </c>
      <c r="Y115" s="65">
        <f t="shared" si="3"/>
        <v>3</v>
      </c>
      <c r="Z115" s="65">
        <f t="shared" si="4"/>
        <v>3.3333333333333335</v>
      </c>
      <c r="AA115" s="65">
        <f t="shared" si="5"/>
        <v>3.6666666666666665</v>
      </c>
      <c r="AC115" s="8">
        <v>3</v>
      </c>
      <c r="AD115" s="65">
        <f t="shared" si="6"/>
        <v>3</v>
      </c>
      <c r="AE115" s="65">
        <f t="shared" si="6"/>
        <v>3.3333333333333335</v>
      </c>
      <c r="AF115" s="65">
        <f t="shared" si="6"/>
        <v>3.6666666666666665</v>
      </c>
      <c r="AG115" s="65">
        <f t="shared" si="7"/>
        <v>30</v>
      </c>
      <c r="AI115" s="8">
        <v>3</v>
      </c>
      <c r="AJ115" s="65">
        <f>AJ117+((AJ113-AJ117)*2/8)</f>
        <v>30</v>
      </c>
    </row>
    <row r="116" spans="1:36" ht="12.75">
      <c r="A116" s="23"/>
      <c r="B116" s="23"/>
      <c r="C116" s="23"/>
      <c r="D116" s="23"/>
      <c r="E116" s="23"/>
      <c r="F116" s="23"/>
      <c r="G116" s="23"/>
      <c r="H116" s="23"/>
      <c r="I116" s="23"/>
      <c r="J116" s="23"/>
      <c r="K116" s="23"/>
      <c r="L116" s="23"/>
      <c r="M116" s="23"/>
      <c r="N116" s="23"/>
      <c r="O116" s="23"/>
      <c r="S116" s="8">
        <v>4</v>
      </c>
      <c r="T116" s="65">
        <f t="shared" si="0"/>
        <v>3.057471264367816</v>
      </c>
      <c r="U116" s="65">
        <f t="shared" si="1"/>
        <v>4.022988505747127</v>
      </c>
      <c r="V116" s="65">
        <f t="shared" si="2"/>
        <v>4.988505747126437</v>
      </c>
      <c r="X116" s="8">
        <v>4</v>
      </c>
      <c r="Y116" s="65">
        <f t="shared" si="3"/>
        <v>3</v>
      </c>
      <c r="Z116" s="65">
        <f t="shared" si="4"/>
        <v>3.3333333333333335</v>
      </c>
      <c r="AA116" s="65">
        <f t="shared" si="5"/>
        <v>3.6666666666666665</v>
      </c>
      <c r="AC116" s="8">
        <v>4</v>
      </c>
      <c r="AD116" s="65">
        <f t="shared" si="6"/>
        <v>3</v>
      </c>
      <c r="AE116" s="65">
        <f t="shared" si="6"/>
        <v>3.3333333333333335</v>
      </c>
      <c r="AF116" s="65">
        <f t="shared" si="6"/>
        <v>3.6666666666666665</v>
      </c>
      <c r="AG116" s="65">
        <f t="shared" si="7"/>
        <v>24.444444444444443</v>
      </c>
      <c r="AI116" s="8">
        <v>4</v>
      </c>
      <c r="AJ116" s="65">
        <f>AJ117+((AJ113-AJ117)*1/9)</f>
        <v>24.444444444444443</v>
      </c>
    </row>
    <row r="117" spans="1:37" ht="12.75">
      <c r="A117" s="23"/>
      <c r="B117" s="23"/>
      <c r="C117" s="23"/>
      <c r="D117" s="23"/>
      <c r="E117" s="23"/>
      <c r="F117" s="23"/>
      <c r="G117" s="23"/>
      <c r="H117" s="23"/>
      <c r="I117" s="23"/>
      <c r="J117" s="23"/>
      <c r="K117" s="23"/>
      <c r="L117" s="23"/>
      <c r="M117" s="23"/>
      <c r="N117" s="23"/>
      <c r="O117" s="23"/>
      <c r="S117" s="8">
        <v>5</v>
      </c>
      <c r="T117" s="65">
        <f t="shared" si="0"/>
        <v>2.4459770114942527</v>
      </c>
      <c r="U117" s="65">
        <f t="shared" si="1"/>
        <v>3.218390804597701</v>
      </c>
      <c r="V117" s="65">
        <f t="shared" si="2"/>
        <v>3.9908045977011497</v>
      </c>
      <c r="X117" s="8">
        <v>5</v>
      </c>
      <c r="Y117" s="65">
        <f t="shared" si="3"/>
        <v>2.4459770114942527</v>
      </c>
      <c r="Z117" s="65">
        <f t="shared" si="4"/>
        <v>3.218390804597701</v>
      </c>
      <c r="AA117" s="65">
        <f t="shared" si="5"/>
        <v>3.6666666666666665</v>
      </c>
      <c r="AC117" s="8">
        <v>5</v>
      </c>
      <c r="AD117" s="65">
        <f t="shared" si="6"/>
        <v>2.4459770114942527</v>
      </c>
      <c r="AE117" s="65">
        <f t="shared" si="6"/>
        <v>3.218390804597701</v>
      </c>
      <c r="AF117" s="65">
        <f t="shared" si="6"/>
        <v>3.6666666666666665</v>
      </c>
      <c r="AG117" s="65">
        <f t="shared" si="7"/>
        <v>20</v>
      </c>
      <c r="AI117" s="8">
        <v>5</v>
      </c>
      <c r="AJ117" s="65">
        <f>G84</f>
        <v>20</v>
      </c>
      <c r="AK117" t="s">
        <v>161</v>
      </c>
    </row>
    <row r="118" spans="1:36" ht="12.75">
      <c r="A118" s="23"/>
      <c r="B118" s="23"/>
      <c r="C118" s="23"/>
      <c r="D118" s="23"/>
      <c r="E118" s="23"/>
      <c r="F118" s="23"/>
      <c r="G118" s="23"/>
      <c r="H118" s="23"/>
      <c r="I118" s="23"/>
      <c r="J118" s="23"/>
      <c r="K118" s="23"/>
      <c r="L118" s="23"/>
      <c r="M118" s="23"/>
      <c r="N118" s="23"/>
      <c r="O118" s="23"/>
      <c r="S118" s="8">
        <v>6</v>
      </c>
      <c r="T118" s="65">
        <f t="shared" si="0"/>
        <v>2.0383141762452106</v>
      </c>
      <c r="U118" s="65">
        <f t="shared" si="1"/>
        <v>2.681992337164751</v>
      </c>
      <c r="V118" s="65">
        <f t="shared" si="2"/>
        <v>3.3256704980842913</v>
      </c>
      <c r="X118" s="8">
        <v>6</v>
      </c>
      <c r="Y118" s="65">
        <f t="shared" si="3"/>
        <v>2.0383141762452106</v>
      </c>
      <c r="Z118" s="65">
        <f t="shared" si="4"/>
        <v>2.681992337164751</v>
      </c>
      <c r="AA118" s="65">
        <f t="shared" si="5"/>
        <v>3.3256704980842913</v>
      </c>
      <c r="AC118" s="8">
        <v>6</v>
      </c>
      <c r="AD118" s="65">
        <f t="shared" si="6"/>
        <v>2.0383141762452106</v>
      </c>
      <c r="AE118" s="65">
        <f t="shared" si="6"/>
        <v>2.681992337164751</v>
      </c>
      <c r="AF118" s="65">
        <f t="shared" si="6"/>
        <v>3.3256704980842913</v>
      </c>
      <c r="AG118" s="65">
        <f t="shared" si="7"/>
        <v>15</v>
      </c>
      <c r="AI118" s="8">
        <v>6</v>
      </c>
      <c r="AJ118" s="65">
        <f>AJ$122+((AJ$117-AJ$122)*4/6)</f>
        <v>15</v>
      </c>
    </row>
    <row r="119" spans="1:36" ht="12.75">
      <c r="A119" s="23"/>
      <c r="B119" s="23"/>
      <c r="C119" s="23"/>
      <c r="D119" s="23"/>
      <c r="E119" s="23"/>
      <c r="F119" s="23"/>
      <c r="G119" s="23"/>
      <c r="H119" s="23"/>
      <c r="I119" s="23"/>
      <c r="J119" s="23"/>
      <c r="K119" s="23"/>
      <c r="L119" s="23"/>
      <c r="M119" s="23"/>
      <c r="N119" s="23"/>
      <c r="O119" s="23"/>
      <c r="S119" s="8">
        <v>7</v>
      </c>
      <c r="T119" s="65">
        <f t="shared" si="0"/>
        <v>1.7471264367816093</v>
      </c>
      <c r="U119" s="65">
        <f t="shared" si="1"/>
        <v>2.298850574712644</v>
      </c>
      <c r="V119" s="65">
        <f t="shared" si="2"/>
        <v>2.8505747126436782</v>
      </c>
      <c r="X119" s="8">
        <v>7</v>
      </c>
      <c r="Y119" s="65">
        <f t="shared" si="3"/>
        <v>1.7471264367816093</v>
      </c>
      <c r="Z119" s="65">
        <f t="shared" si="4"/>
        <v>2.298850574712644</v>
      </c>
      <c r="AA119" s="65">
        <f t="shared" si="5"/>
        <v>2.8505747126436782</v>
      </c>
      <c r="AC119" s="8">
        <v>7</v>
      </c>
      <c r="AD119" s="65">
        <f t="shared" si="6"/>
        <v>5E-10</v>
      </c>
      <c r="AE119" s="65">
        <f t="shared" si="6"/>
        <v>5E-10</v>
      </c>
      <c r="AF119" s="65">
        <f t="shared" si="6"/>
        <v>5E-10</v>
      </c>
      <c r="AG119" s="65">
        <f t="shared" si="7"/>
        <v>11.428571428571429</v>
      </c>
      <c r="AI119" s="8">
        <v>7</v>
      </c>
      <c r="AJ119" s="65">
        <f>AJ$122+((AJ$117-AJ$122)*3/7)</f>
        <v>11.428571428571429</v>
      </c>
    </row>
    <row r="120" spans="1:36" ht="12.75">
      <c r="A120" s="23"/>
      <c r="B120" s="23"/>
      <c r="C120" s="23"/>
      <c r="D120" s="23"/>
      <c r="E120" s="23"/>
      <c r="F120" s="23"/>
      <c r="G120" s="23"/>
      <c r="H120" s="23"/>
      <c r="I120" s="23"/>
      <c r="J120" s="23"/>
      <c r="K120" s="23"/>
      <c r="L120" s="23"/>
      <c r="M120" s="23"/>
      <c r="N120" s="23"/>
      <c r="O120" s="23"/>
      <c r="S120" s="8">
        <v>8</v>
      </c>
      <c r="T120" s="65">
        <f t="shared" si="0"/>
        <v>1.528735632183908</v>
      </c>
      <c r="U120" s="65">
        <f t="shared" si="1"/>
        <v>2.0114942528735633</v>
      </c>
      <c r="V120" s="65">
        <f t="shared" si="2"/>
        <v>2.4942528735632186</v>
      </c>
      <c r="X120" s="8">
        <v>8</v>
      </c>
      <c r="Y120" s="65">
        <f t="shared" si="3"/>
        <v>1.528735632183908</v>
      </c>
      <c r="Z120" s="65">
        <f t="shared" si="4"/>
        <v>2.0114942528735633</v>
      </c>
      <c r="AA120" s="65">
        <f t="shared" si="5"/>
        <v>2.4942528735632186</v>
      </c>
      <c r="AC120" s="8">
        <v>8</v>
      </c>
      <c r="AD120" s="65">
        <f t="shared" si="6"/>
        <v>5E-10</v>
      </c>
      <c r="AE120" s="65">
        <f t="shared" si="6"/>
        <v>5E-10</v>
      </c>
      <c r="AF120" s="65">
        <f t="shared" si="6"/>
        <v>5E-10</v>
      </c>
      <c r="AG120" s="65">
        <f t="shared" si="7"/>
        <v>8.75</v>
      </c>
      <c r="AI120" s="8">
        <v>8</v>
      </c>
      <c r="AJ120" s="65">
        <f>AJ$122+((AJ$117-AJ$122)*2/8)</f>
        <v>8.75</v>
      </c>
    </row>
    <row r="121" spans="1:36" ht="12.75">
      <c r="A121" s="23"/>
      <c r="B121" s="23"/>
      <c r="C121" s="23"/>
      <c r="D121" s="23"/>
      <c r="E121" s="23"/>
      <c r="F121" s="23"/>
      <c r="G121" s="23"/>
      <c r="H121" s="23"/>
      <c r="I121" s="23"/>
      <c r="J121" s="23"/>
      <c r="K121" s="23"/>
      <c r="L121" s="23"/>
      <c r="M121" s="23"/>
      <c r="N121" s="23"/>
      <c r="O121" s="23"/>
      <c r="S121" s="8">
        <v>9</v>
      </c>
      <c r="T121" s="65">
        <f t="shared" si="0"/>
        <v>1.3588761174968071</v>
      </c>
      <c r="U121" s="65">
        <f t="shared" si="1"/>
        <v>1.7879948914431674</v>
      </c>
      <c r="V121" s="65">
        <f t="shared" si="2"/>
        <v>2.217113665389528</v>
      </c>
      <c r="X121" s="8">
        <v>9</v>
      </c>
      <c r="Y121" s="65">
        <f t="shared" si="3"/>
        <v>1.3588761174968071</v>
      </c>
      <c r="Z121" s="65">
        <f t="shared" si="4"/>
        <v>1.7879948914431674</v>
      </c>
      <c r="AA121" s="65">
        <f t="shared" si="5"/>
        <v>2.217113665389528</v>
      </c>
      <c r="AC121" s="8">
        <v>9</v>
      </c>
      <c r="AD121" s="65">
        <f t="shared" si="6"/>
        <v>5E-10</v>
      </c>
      <c r="AE121" s="65">
        <f t="shared" si="6"/>
        <v>5E-10</v>
      </c>
      <c r="AF121" s="65">
        <f t="shared" si="6"/>
        <v>5E-10</v>
      </c>
      <c r="AG121" s="65">
        <f t="shared" si="7"/>
        <v>6.666666666666667</v>
      </c>
      <c r="AI121" s="8">
        <v>9</v>
      </c>
      <c r="AJ121" s="65">
        <f>AJ$122+((AJ$117-AJ$122)*1/9)</f>
        <v>6.666666666666667</v>
      </c>
    </row>
    <row r="122" spans="1:37" ht="12.75">
      <c r="A122" s="23"/>
      <c r="B122" s="23"/>
      <c r="C122" s="23"/>
      <c r="D122" s="23"/>
      <c r="E122" s="23"/>
      <c r="F122" s="23"/>
      <c r="G122" s="23"/>
      <c r="H122" s="23"/>
      <c r="I122" s="23"/>
      <c r="J122" s="23"/>
      <c r="K122" s="23"/>
      <c r="L122" s="23"/>
      <c r="M122" s="23"/>
      <c r="N122" s="23"/>
      <c r="O122" s="23"/>
      <c r="S122" s="8">
        <v>10</v>
      </c>
      <c r="T122" s="65">
        <f t="shared" si="0"/>
        <v>1.2229885057471264</v>
      </c>
      <c r="U122" s="65">
        <f t="shared" si="1"/>
        <v>1.6091954022988506</v>
      </c>
      <c r="V122" s="65">
        <f t="shared" si="2"/>
        <v>1.9954022988505749</v>
      </c>
      <c r="X122" s="8">
        <v>10</v>
      </c>
      <c r="Y122" s="65">
        <f t="shared" si="3"/>
        <v>1.2229885057471264</v>
      </c>
      <c r="Z122" s="65">
        <f t="shared" si="4"/>
        <v>1.6091954022988506</v>
      </c>
      <c r="AA122" s="65">
        <f t="shared" si="5"/>
        <v>1.9954022988505749</v>
      </c>
      <c r="AC122" s="8">
        <v>10</v>
      </c>
      <c r="AD122" s="65">
        <f t="shared" si="6"/>
        <v>5E-10</v>
      </c>
      <c r="AE122" s="65">
        <f t="shared" si="6"/>
        <v>5E-10</v>
      </c>
      <c r="AF122" s="65">
        <f t="shared" si="6"/>
        <v>5E-10</v>
      </c>
      <c r="AG122" s="65">
        <f t="shared" si="7"/>
        <v>5</v>
      </c>
      <c r="AI122" s="8">
        <v>10</v>
      </c>
      <c r="AJ122" s="65">
        <f>G85</f>
        <v>5</v>
      </c>
      <c r="AK122" t="s">
        <v>161</v>
      </c>
    </row>
    <row r="123" spans="1:36" ht="12.75">
      <c r="A123" s="23"/>
      <c r="B123" s="23"/>
      <c r="C123" s="23"/>
      <c r="D123" s="23"/>
      <c r="E123" s="23"/>
      <c r="F123" s="23"/>
      <c r="G123" s="23"/>
      <c r="H123" s="23"/>
      <c r="I123" s="23"/>
      <c r="J123" s="23"/>
      <c r="K123" s="23"/>
      <c r="L123" s="23"/>
      <c r="M123" s="23"/>
      <c r="N123" s="23"/>
      <c r="O123" s="23"/>
      <c r="S123" s="8">
        <v>11</v>
      </c>
      <c r="T123" s="65">
        <f t="shared" si="0"/>
        <v>1.1118077324973876</v>
      </c>
      <c r="U123" s="65">
        <f t="shared" si="1"/>
        <v>1.4629049111807733</v>
      </c>
      <c r="V123" s="65">
        <f t="shared" si="2"/>
        <v>1.814002089864159</v>
      </c>
      <c r="X123" s="8">
        <v>11</v>
      </c>
      <c r="Y123" s="65">
        <f t="shared" si="3"/>
        <v>1.1118077324973876</v>
      </c>
      <c r="Z123" s="65">
        <f t="shared" si="4"/>
        <v>1.4629049111807733</v>
      </c>
      <c r="AA123" s="65">
        <f t="shared" si="5"/>
        <v>1.814002089864159</v>
      </c>
      <c r="AC123" s="8">
        <v>11</v>
      </c>
      <c r="AD123" s="65">
        <f t="shared" si="6"/>
        <v>5E-10</v>
      </c>
      <c r="AE123" s="65">
        <f t="shared" si="6"/>
        <v>5E-10</v>
      </c>
      <c r="AF123" s="65">
        <f t="shared" si="6"/>
        <v>5E-10</v>
      </c>
      <c r="AG123" s="65">
        <f t="shared" si="7"/>
        <v>4.166666666666667</v>
      </c>
      <c r="AI123" s="8">
        <v>11</v>
      </c>
      <c r="AJ123" s="65">
        <f>AJ$127+((AJ$122-AJ$127)*4/6)</f>
        <v>4.166666666666667</v>
      </c>
    </row>
    <row r="124" spans="1:36" ht="12.75">
      <c r="A124" s="23"/>
      <c r="B124" s="23"/>
      <c r="C124" s="23"/>
      <c r="D124" s="23"/>
      <c r="E124" s="23"/>
      <c r="F124" s="23"/>
      <c r="G124" s="23"/>
      <c r="H124" s="23"/>
      <c r="I124" s="23"/>
      <c r="J124" s="23"/>
      <c r="K124" s="23"/>
      <c r="L124" s="23"/>
      <c r="M124" s="23"/>
      <c r="N124" s="23"/>
      <c r="O124" s="23"/>
      <c r="S124" s="8">
        <v>12</v>
      </c>
      <c r="T124" s="65">
        <f t="shared" si="0"/>
        <v>1.0191570881226053</v>
      </c>
      <c r="U124" s="65">
        <f t="shared" si="1"/>
        <v>1.3409961685823755</v>
      </c>
      <c r="V124" s="65">
        <f t="shared" si="2"/>
        <v>1.6628352490421456</v>
      </c>
      <c r="X124" s="8">
        <v>12</v>
      </c>
      <c r="Y124" s="65">
        <f t="shared" si="3"/>
        <v>1.0191570881226053</v>
      </c>
      <c r="Z124" s="65">
        <f t="shared" si="4"/>
        <v>1.3409961685823755</v>
      </c>
      <c r="AA124" s="65">
        <f t="shared" si="5"/>
        <v>1.6628352490421456</v>
      </c>
      <c r="AC124" s="8">
        <v>12</v>
      </c>
      <c r="AD124" s="65">
        <f t="shared" si="6"/>
        <v>5E-10</v>
      </c>
      <c r="AE124" s="65">
        <f t="shared" si="6"/>
        <v>5E-10</v>
      </c>
      <c r="AF124" s="65">
        <f t="shared" si="6"/>
        <v>5E-10</v>
      </c>
      <c r="AG124" s="65">
        <f t="shared" si="7"/>
        <v>3.571428571428571</v>
      </c>
      <c r="AI124" s="8">
        <v>12</v>
      </c>
      <c r="AJ124" s="65">
        <f>AJ$127+((AJ$122-AJ$127)*3/7)</f>
        <v>3.571428571428571</v>
      </c>
    </row>
    <row r="125" spans="1:36" ht="12.75">
      <c r="A125" s="23"/>
      <c r="B125" s="23"/>
      <c r="C125" s="23"/>
      <c r="D125" s="23"/>
      <c r="E125" s="23"/>
      <c r="F125" s="23"/>
      <c r="G125" s="23"/>
      <c r="H125" s="23"/>
      <c r="I125" s="23"/>
      <c r="J125" s="23"/>
      <c r="K125" s="23"/>
      <c r="L125" s="23"/>
      <c r="M125" s="23"/>
      <c r="N125" s="23"/>
      <c r="O125" s="23"/>
      <c r="S125" s="8">
        <v>13</v>
      </c>
      <c r="T125" s="65">
        <f t="shared" si="0"/>
        <v>0.9407603890362511</v>
      </c>
      <c r="U125" s="65">
        <f t="shared" si="1"/>
        <v>1.237842617152962</v>
      </c>
      <c r="V125" s="65">
        <f t="shared" si="2"/>
        <v>1.5349248452696729</v>
      </c>
      <c r="X125" s="8">
        <v>13</v>
      </c>
      <c r="Y125" s="65">
        <f t="shared" si="3"/>
        <v>0.9407603890362511</v>
      </c>
      <c r="Z125" s="65">
        <f t="shared" si="4"/>
        <v>1.237842617152962</v>
      </c>
      <c r="AA125" s="65">
        <f t="shared" si="5"/>
        <v>1.5349248452696729</v>
      </c>
      <c r="AC125" s="8">
        <v>13</v>
      </c>
      <c r="AD125" s="65">
        <f t="shared" si="6"/>
        <v>5E-10</v>
      </c>
      <c r="AE125" s="65">
        <f t="shared" si="6"/>
        <v>5E-10</v>
      </c>
      <c r="AF125" s="65">
        <f t="shared" si="6"/>
        <v>5E-10</v>
      </c>
      <c r="AG125" s="65">
        <f t="shared" si="7"/>
        <v>3.125</v>
      </c>
      <c r="AI125" s="8">
        <v>13</v>
      </c>
      <c r="AJ125" s="65">
        <f>AJ$127+((AJ$122-AJ$127)*2/8)</f>
        <v>3.125</v>
      </c>
    </row>
    <row r="126" spans="1:36" ht="12.75">
      <c r="A126" s="23"/>
      <c r="B126" s="23"/>
      <c r="C126" s="23"/>
      <c r="D126" s="23"/>
      <c r="E126" s="23"/>
      <c r="F126" s="23"/>
      <c r="G126" s="23"/>
      <c r="H126" s="23"/>
      <c r="I126" s="23"/>
      <c r="J126" s="23"/>
      <c r="K126" s="23"/>
      <c r="L126" s="23"/>
      <c r="M126" s="23"/>
      <c r="N126" s="23"/>
      <c r="O126" s="23"/>
      <c r="S126" s="8">
        <v>14</v>
      </c>
      <c r="T126" s="65">
        <f t="shared" si="0"/>
        <v>0.8735632183908046</v>
      </c>
      <c r="U126" s="65">
        <f t="shared" si="1"/>
        <v>1.149425287356322</v>
      </c>
      <c r="V126" s="65">
        <f t="shared" si="2"/>
        <v>1.4252873563218391</v>
      </c>
      <c r="X126" s="8">
        <v>14</v>
      </c>
      <c r="Y126" s="65">
        <f t="shared" si="3"/>
        <v>0.8735632183908046</v>
      </c>
      <c r="Z126" s="65">
        <f t="shared" si="4"/>
        <v>1.149425287356322</v>
      </c>
      <c r="AA126" s="65">
        <f t="shared" si="5"/>
        <v>1.4252873563218391</v>
      </c>
      <c r="AC126" s="8">
        <v>14</v>
      </c>
      <c r="AD126" s="65">
        <f t="shared" si="6"/>
        <v>5E-10</v>
      </c>
      <c r="AE126" s="65">
        <f t="shared" si="6"/>
        <v>5E-10</v>
      </c>
      <c r="AF126" s="65">
        <f t="shared" si="6"/>
        <v>5E-10</v>
      </c>
      <c r="AG126" s="65">
        <f t="shared" si="7"/>
        <v>2.7777777777777777</v>
      </c>
      <c r="AI126" s="8">
        <v>14</v>
      </c>
      <c r="AJ126" s="65">
        <f>AJ$127+((AJ$122-AJ$127)*1/9)</f>
        <v>2.7777777777777777</v>
      </c>
    </row>
    <row r="127" spans="1:37" ht="12.75">
      <c r="A127" s="23"/>
      <c r="B127" s="23"/>
      <c r="C127" s="23"/>
      <c r="D127" s="23"/>
      <c r="E127" s="23"/>
      <c r="F127" s="23"/>
      <c r="G127" s="23"/>
      <c r="H127" s="23"/>
      <c r="I127" s="23"/>
      <c r="J127" s="23"/>
      <c r="K127" s="23"/>
      <c r="L127" s="23"/>
      <c r="M127" s="23"/>
      <c r="N127" s="23"/>
      <c r="O127" s="23"/>
      <c r="S127" s="8">
        <v>15</v>
      </c>
      <c r="T127" s="65">
        <f t="shared" si="0"/>
        <v>0.8153256704980844</v>
      </c>
      <c r="U127" s="65">
        <f t="shared" si="1"/>
        <v>1.0727969348659003</v>
      </c>
      <c r="V127" s="65">
        <f t="shared" si="2"/>
        <v>1.3302681992337166</v>
      </c>
      <c r="X127" s="8">
        <v>15</v>
      </c>
      <c r="Y127" s="65">
        <f t="shared" si="3"/>
        <v>0.8153256704980844</v>
      </c>
      <c r="Z127" s="65">
        <f t="shared" si="4"/>
        <v>1.0727969348659003</v>
      </c>
      <c r="AA127" s="65">
        <f t="shared" si="5"/>
        <v>1.3302681992337166</v>
      </c>
      <c r="AC127" s="8">
        <v>15</v>
      </c>
      <c r="AD127" s="65">
        <f t="shared" si="6"/>
        <v>5E-10</v>
      </c>
      <c r="AE127" s="65">
        <f t="shared" si="6"/>
        <v>5E-10</v>
      </c>
      <c r="AF127" s="65">
        <f t="shared" si="6"/>
        <v>5E-10</v>
      </c>
      <c r="AG127" s="65">
        <f t="shared" si="7"/>
        <v>2.5</v>
      </c>
      <c r="AI127" s="8">
        <v>15</v>
      </c>
      <c r="AJ127" s="65">
        <f>G86</f>
        <v>2.5</v>
      </c>
      <c r="AK127" t="s">
        <v>161</v>
      </c>
    </row>
    <row r="128" spans="1:36" ht="12.75">
      <c r="A128" s="23"/>
      <c r="B128" s="23"/>
      <c r="C128" s="23"/>
      <c r="D128" s="23"/>
      <c r="E128" s="23"/>
      <c r="F128" s="23"/>
      <c r="G128" s="23"/>
      <c r="H128" s="23"/>
      <c r="I128" s="23"/>
      <c r="J128" s="23"/>
      <c r="K128" s="23"/>
      <c r="L128" s="23"/>
      <c r="M128" s="23"/>
      <c r="N128" s="23"/>
      <c r="O128" s="23"/>
      <c r="S128" s="8">
        <v>16</v>
      </c>
      <c r="T128" s="65">
        <f t="shared" si="0"/>
        <v>0.764367816091954</v>
      </c>
      <c r="U128" s="65">
        <f t="shared" si="1"/>
        <v>1.0057471264367817</v>
      </c>
      <c r="V128" s="65">
        <f t="shared" si="2"/>
        <v>1.2471264367816093</v>
      </c>
      <c r="X128" s="8">
        <v>16</v>
      </c>
      <c r="Y128" s="65">
        <f t="shared" si="3"/>
        <v>0.764367816091954</v>
      </c>
      <c r="Z128" s="65">
        <f t="shared" si="4"/>
        <v>1.0057471264367817</v>
      </c>
      <c r="AA128" s="65">
        <f t="shared" si="5"/>
        <v>1.2471264367816093</v>
      </c>
      <c r="AC128" s="8">
        <v>16</v>
      </c>
      <c r="AD128" s="65">
        <f t="shared" si="6"/>
        <v>5E-10</v>
      </c>
      <c r="AE128" s="65">
        <f t="shared" si="6"/>
        <v>5E-10</v>
      </c>
      <c r="AF128" s="65">
        <f t="shared" si="6"/>
        <v>5E-10</v>
      </c>
      <c r="AG128" s="65">
        <f t="shared" si="7"/>
        <v>2.0666666666666664</v>
      </c>
      <c r="AI128" s="8">
        <v>16</v>
      </c>
      <c r="AJ128" s="65">
        <f>AJ$132+((AJ$127-AJ$132)*4/6)</f>
        <v>2.0666666666666664</v>
      </c>
    </row>
    <row r="129" spans="1:36" ht="12.75">
      <c r="A129" s="23"/>
      <c r="B129" s="23"/>
      <c r="C129" s="23"/>
      <c r="D129" s="23"/>
      <c r="E129" s="23"/>
      <c r="F129" s="23"/>
      <c r="G129" s="23"/>
      <c r="H129" s="23"/>
      <c r="I129" s="23"/>
      <c r="J129" s="23"/>
      <c r="K129" s="23"/>
      <c r="L129" s="23"/>
      <c r="M129" s="23"/>
      <c r="N129" s="23"/>
      <c r="O129" s="23"/>
      <c r="S129" s="8">
        <v>17</v>
      </c>
      <c r="T129" s="65">
        <f t="shared" si="0"/>
        <v>0.7194050033806626</v>
      </c>
      <c r="U129" s="65">
        <f t="shared" si="1"/>
        <v>0.9465855307640298</v>
      </c>
      <c r="V129" s="65">
        <f t="shared" si="2"/>
        <v>1.173766058147397</v>
      </c>
      <c r="X129" s="8">
        <v>17</v>
      </c>
      <c r="Y129" s="65">
        <f t="shared" si="3"/>
        <v>0.7194050033806626</v>
      </c>
      <c r="Z129" s="65">
        <f t="shared" si="4"/>
        <v>0.9465855307640298</v>
      </c>
      <c r="AA129" s="65">
        <f t="shared" si="5"/>
        <v>1.173766058147397</v>
      </c>
      <c r="AC129" s="8">
        <v>17</v>
      </c>
      <c r="AD129" s="65">
        <f t="shared" si="6"/>
        <v>5E-10</v>
      </c>
      <c r="AE129" s="65">
        <f t="shared" si="6"/>
        <v>5E-10</v>
      </c>
      <c r="AF129" s="65">
        <f t="shared" si="6"/>
        <v>5E-10</v>
      </c>
      <c r="AG129" s="65">
        <f t="shared" si="7"/>
        <v>1.7571428571428571</v>
      </c>
      <c r="AI129" s="8">
        <v>17</v>
      </c>
      <c r="AJ129" s="65">
        <f>AJ$132+((AJ$127-AJ$132)*3/7)</f>
        <v>1.7571428571428571</v>
      </c>
    </row>
    <row r="130" spans="1:36" ht="12.75">
      <c r="A130" s="23"/>
      <c r="B130" s="23"/>
      <c r="C130" s="23"/>
      <c r="D130" s="23"/>
      <c r="E130" s="23"/>
      <c r="F130" s="23"/>
      <c r="G130" s="23"/>
      <c r="H130" s="23"/>
      <c r="I130" s="23"/>
      <c r="J130" s="23"/>
      <c r="K130" s="23"/>
      <c r="L130" s="23"/>
      <c r="M130" s="23"/>
      <c r="N130" s="23"/>
      <c r="O130" s="23"/>
      <c r="AC130" s="63">
        <v>18</v>
      </c>
      <c r="AD130" s="65">
        <f t="shared" si="6"/>
        <v>5E-10</v>
      </c>
      <c r="AE130" s="65">
        <f t="shared" si="6"/>
        <v>5E-10</v>
      </c>
      <c r="AF130" s="65">
        <f t="shared" si="6"/>
        <v>5E-10</v>
      </c>
      <c r="AG130" s="65">
        <f t="shared" si="7"/>
        <v>1.525</v>
      </c>
      <c r="AI130" s="63">
        <v>18</v>
      </c>
      <c r="AJ130" s="65">
        <f>AJ$132+((AJ$127-AJ$132)*2/8)</f>
        <v>1.525</v>
      </c>
    </row>
    <row r="131" spans="1:36" ht="12.75">
      <c r="A131" s="23"/>
      <c r="B131" s="23"/>
      <c r="C131" s="23"/>
      <c r="D131" s="23"/>
      <c r="E131" s="23"/>
      <c r="F131" s="23"/>
      <c r="G131" s="23"/>
      <c r="H131" s="23"/>
      <c r="I131" s="23"/>
      <c r="J131" s="23"/>
      <c r="K131" s="23"/>
      <c r="L131" s="23"/>
      <c r="M131" s="23"/>
      <c r="N131" s="23"/>
      <c r="O131" s="23"/>
      <c r="AC131" s="63">
        <v>19</v>
      </c>
      <c r="AD131" s="65">
        <f t="shared" si="6"/>
        <v>5E-10</v>
      </c>
      <c r="AE131" s="65">
        <f t="shared" si="6"/>
        <v>5E-10</v>
      </c>
      <c r="AF131" s="65">
        <f t="shared" si="6"/>
        <v>5E-10</v>
      </c>
      <c r="AG131" s="65">
        <f t="shared" si="7"/>
        <v>1.3444444444444443</v>
      </c>
      <c r="AI131" s="63">
        <v>19</v>
      </c>
      <c r="AJ131" s="65">
        <f>AJ$132+((AJ$127-AJ$132)*1/9)</f>
        <v>1.3444444444444443</v>
      </c>
    </row>
    <row r="132" spans="1:37" ht="12.75">
      <c r="A132" s="23"/>
      <c r="B132" s="23"/>
      <c r="C132" s="23"/>
      <c r="D132" s="23"/>
      <c r="E132" s="23"/>
      <c r="F132" s="23"/>
      <c r="G132" s="23"/>
      <c r="H132" s="23"/>
      <c r="I132" s="23"/>
      <c r="J132" s="23"/>
      <c r="K132" s="23"/>
      <c r="L132" s="23"/>
      <c r="M132" s="23"/>
      <c r="N132" s="23"/>
      <c r="O132" s="23"/>
      <c r="AC132" s="63">
        <v>20</v>
      </c>
      <c r="AD132" s="65">
        <f t="shared" si="6"/>
        <v>5E-10</v>
      </c>
      <c r="AE132" s="65">
        <f t="shared" si="6"/>
        <v>5E-10</v>
      </c>
      <c r="AF132" s="65">
        <f t="shared" si="6"/>
        <v>5E-10</v>
      </c>
      <c r="AG132" s="65">
        <f t="shared" si="7"/>
        <v>1.2</v>
      </c>
      <c r="AI132" s="63">
        <v>20</v>
      </c>
      <c r="AJ132" s="65">
        <f>G87</f>
        <v>1.2</v>
      </c>
      <c r="AK132" t="s">
        <v>161</v>
      </c>
    </row>
    <row r="133" spans="1:15" ht="12.75">
      <c r="A133" s="23"/>
      <c r="B133" s="23"/>
      <c r="C133" s="23"/>
      <c r="D133" s="23"/>
      <c r="E133" s="23"/>
      <c r="F133" s="23"/>
      <c r="G133" s="23"/>
      <c r="H133" s="23"/>
      <c r="I133" s="23"/>
      <c r="J133" s="23"/>
      <c r="K133" s="23"/>
      <c r="L133" s="23"/>
      <c r="M133" s="23"/>
      <c r="N133" s="23"/>
      <c r="O133" s="23"/>
    </row>
    <row r="134" spans="1:15" ht="12.75">
      <c r="A134" s="23"/>
      <c r="B134" s="23"/>
      <c r="C134" s="23"/>
      <c r="D134" s="23"/>
      <c r="E134" s="23"/>
      <c r="F134" s="23"/>
      <c r="G134" s="23"/>
      <c r="H134" s="23"/>
      <c r="I134" s="23"/>
      <c r="J134" s="23"/>
      <c r="K134" s="23"/>
      <c r="L134" s="23"/>
      <c r="M134" s="23"/>
      <c r="N134" s="23"/>
      <c r="O134" s="23"/>
    </row>
    <row r="135" spans="1:15" ht="12.75">
      <c r="A135" s="23"/>
      <c r="B135" s="23"/>
      <c r="C135" s="23"/>
      <c r="D135" s="23"/>
      <c r="E135" s="23"/>
      <c r="F135" s="23"/>
      <c r="G135" s="23"/>
      <c r="H135" s="23"/>
      <c r="I135" s="23"/>
      <c r="J135" s="23"/>
      <c r="K135" s="23"/>
      <c r="L135" s="23"/>
      <c r="M135" s="23"/>
      <c r="N135" s="23"/>
      <c r="O135" s="23"/>
    </row>
    <row r="136" spans="1:15" ht="12.75">
      <c r="A136" s="23"/>
      <c r="B136" s="23"/>
      <c r="C136" s="23"/>
      <c r="D136" s="23"/>
      <c r="E136" s="23"/>
      <c r="F136" s="23"/>
      <c r="G136" s="23"/>
      <c r="H136" s="23"/>
      <c r="I136" s="23"/>
      <c r="J136" s="23"/>
      <c r="K136" s="23"/>
      <c r="L136" s="23"/>
      <c r="M136" s="23"/>
      <c r="N136" s="23"/>
      <c r="O136" s="23"/>
    </row>
    <row r="137" spans="1:15" ht="12.75">
      <c r="A137" s="23"/>
      <c r="B137" s="23"/>
      <c r="C137" s="23"/>
      <c r="D137" s="23"/>
      <c r="E137" s="23"/>
      <c r="F137" s="23"/>
      <c r="G137" s="23"/>
      <c r="H137" s="23"/>
      <c r="I137" s="23"/>
      <c r="J137" s="23"/>
      <c r="K137" s="23"/>
      <c r="L137" s="23"/>
      <c r="M137" s="23"/>
      <c r="N137" s="23"/>
      <c r="O137" s="23"/>
    </row>
    <row r="138" spans="1:15" ht="12.75">
      <c r="A138" s="23"/>
      <c r="B138" s="23"/>
      <c r="C138" s="23"/>
      <c r="D138" s="23"/>
      <c r="E138" s="23"/>
      <c r="F138" s="23"/>
      <c r="G138" s="23"/>
      <c r="H138" s="23"/>
      <c r="I138" s="23"/>
      <c r="J138" s="23"/>
      <c r="K138" s="23"/>
      <c r="L138" s="23"/>
      <c r="M138" s="23"/>
      <c r="N138" s="23"/>
      <c r="O138" s="23"/>
    </row>
    <row r="139" spans="1:15" ht="12.75">
      <c r="A139" s="23"/>
      <c r="B139" s="23"/>
      <c r="C139" s="23"/>
      <c r="D139" s="23"/>
      <c r="E139" s="23"/>
      <c r="F139" s="23"/>
      <c r="G139" s="23"/>
      <c r="H139" s="23"/>
      <c r="I139" s="23"/>
      <c r="J139" s="23"/>
      <c r="K139" s="23"/>
      <c r="L139" s="23"/>
      <c r="M139" s="23"/>
      <c r="N139" s="23"/>
      <c r="O139" s="23"/>
    </row>
    <row r="140" spans="1:15" ht="12.75">
      <c r="A140" s="23"/>
      <c r="B140" s="23"/>
      <c r="C140" s="23"/>
      <c r="D140" s="23"/>
      <c r="E140" s="23"/>
      <c r="F140" s="23"/>
      <c r="G140" s="23"/>
      <c r="H140" s="23"/>
      <c r="I140" s="23"/>
      <c r="J140" s="23"/>
      <c r="K140" s="23"/>
      <c r="L140" s="23"/>
      <c r="M140" s="23"/>
      <c r="N140" s="23"/>
      <c r="O140" s="23"/>
    </row>
    <row r="141" spans="1:15" ht="12.75">
      <c r="A141" s="23"/>
      <c r="B141" s="23"/>
      <c r="C141" s="23"/>
      <c r="D141" s="23"/>
      <c r="E141" s="23"/>
      <c r="F141" s="23"/>
      <c r="G141" s="23"/>
      <c r="H141" s="23"/>
      <c r="I141" s="23"/>
      <c r="J141" s="23"/>
      <c r="K141" s="23"/>
      <c r="L141" s="23"/>
      <c r="M141" s="23"/>
      <c r="N141" s="23"/>
      <c r="O141" s="23"/>
    </row>
    <row r="142" spans="1:15" ht="12.75">
      <c r="A142" s="23"/>
      <c r="B142" s="23"/>
      <c r="C142" s="23"/>
      <c r="D142" s="23"/>
      <c r="E142" s="23"/>
      <c r="F142" s="23"/>
      <c r="G142" s="23"/>
      <c r="H142" s="23"/>
      <c r="I142" s="23"/>
      <c r="J142" s="23"/>
      <c r="K142" s="23"/>
      <c r="L142" s="23"/>
      <c r="M142" s="23"/>
      <c r="N142" s="23"/>
      <c r="O142" s="23"/>
    </row>
    <row r="143" spans="1:15" ht="12.75">
      <c r="A143" s="23"/>
      <c r="B143" s="23"/>
      <c r="C143" s="23"/>
      <c r="D143" s="23"/>
      <c r="E143" s="23"/>
      <c r="F143" s="23"/>
      <c r="G143" s="23"/>
      <c r="H143" s="23"/>
      <c r="I143" s="23"/>
      <c r="J143" s="23"/>
      <c r="K143" s="23"/>
      <c r="L143" s="23"/>
      <c r="M143" s="23"/>
      <c r="N143" s="23"/>
      <c r="O143" s="23"/>
    </row>
    <row r="144" spans="1:15" ht="12.75">
      <c r="A144" s="23"/>
      <c r="B144" s="23"/>
      <c r="C144" s="23"/>
      <c r="D144" s="23"/>
      <c r="E144" s="23"/>
      <c r="F144" s="23"/>
      <c r="G144" s="23"/>
      <c r="H144" s="23"/>
      <c r="I144" s="23"/>
      <c r="J144" s="23"/>
      <c r="K144" s="23"/>
      <c r="L144" s="23"/>
      <c r="M144" s="23"/>
      <c r="N144" s="23"/>
      <c r="O144" s="23"/>
    </row>
    <row r="145" spans="1:15" ht="12.75">
      <c r="A145" s="23"/>
      <c r="B145" s="23"/>
      <c r="C145" s="23"/>
      <c r="D145" s="23"/>
      <c r="E145" s="23"/>
      <c r="F145" s="23"/>
      <c r="G145" s="23"/>
      <c r="H145" s="23"/>
      <c r="I145" s="23"/>
      <c r="J145" s="23"/>
      <c r="K145" s="23"/>
      <c r="L145" s="23"/>
      <c r="M145" s="23"/>
      <c r="N145" s="23"/>
      <c r="O145" s="23"/>
    </row>
    <row r="146" spans="1:15" ht="12.75">
      <c r="A146" s="23"/>
      <c r="B146" s="23"/>
      <c r="C146" s="23"/>
      <c r="D146" s="23"/>
      <c r="E146" s="23"/>
      <c r="F146" s="23"/>
      <c r="G146" s="23"/>
      <c r="H146" s="23"/>
      <c r="I146" s="23"/>
      <c r="J146" s="23"/>
      <c r="K146" s="23"/>
      <c r="L146" s="23"/>
      <c r="M146" s="23"/>
      <c r="N146" s="23"/>
      <c r="O146" s="23"/>
    </row>
    <row r="147" spans="1:15" ht="12.75">
      <c r="A147" s="23"/>
      <c r="B147" s="23"/>
      <c r="C147" s="23"/>
      <c r="D147" s="23"/>
      <c r="E147" s="23"/>
      <c r="F147" s="23"/>
      <c r="G147" s="23"/>
      <c r="H147" s="23"/>
      <c r="I147" s="23"/>
      <c r="J147" s="23"/>
      <c r="K147" s="23"/>
      <c r="L147" s="23"/>
      <c r="M147" s="23"/>
      <c r="N147" s="23"/>
      <c r="O147" s="23"/>
    </row>
    <row r="148" spans="1:15" ht="12.75">
      <c r="A148" s="23"/>
      <c r="B148" s="23"/>
      <c r="C148" s="23"/>
      <c r="D148" s="23"/>
      <c r="E148" s="23"/>
      <c r="F148" s="23"/>
      <c r="G148" s="23"/>
      <c r="H148" s="23"/>
      <c r="I148" s="23"/>
      <c r="J148" s="23"/>
      <c r="K148" s="23"/>
      <c r="L148" s="23"/>
      <c r="M148" s="23"/>
      <c r="N148" s="23"/>
      <c r="O148" s="23"/>
    </row>
    <row r="149" spans="1:15" ht="12.75">
      <c r="A149" s="23"/>
      <c r="B149" s="23"/>
      <c r="C149" s="23"/>
      <c r="D149" s="23"/>
      <c r="E149" s="23"/>
      <c r="F149" s="23"/>
      <c r="G149" s="23"/>
      <c r="H149" s="23"/>
      <c r="I149" s="23"/>
      <c r="J149" s="23"/>
      <c r="K149" s="23"/>
      <c r="L149" s="23"/>
      <c r="M149" s="23"/>
      <c r="N149" s="23"/>
      <c r="O149" s="23"/>
    </row>
    <row r="150" spans="1:15" ht="12.75">
      <c r="A150" s="23"/>
      <c r="B150" s="23"/>
      <c r="C150" s="23"/>
      <c r="D150" s="23"/>
      <c r="E150" s="23"/>
      <c r="F150" s="23"/>
      <c r="G150" s="23"/>
      <c r="H150" s="23"/>
      <c r="I150" s="23"/>
      <c r="J150" s="23"/>
      <c r="K150" s="23"/>
      <c r="L150" s="23"/>
      <c r="M150" s="23"/>
      <c r="N150" s="23"/>
      <c r="O150" s="23"/>
    </row>
  </sheetData>
  <sheetProtection sheet="1" objects="1" scenarios="1" selectLockedCells="1"/>
  <conditionalFormatting sqref="F42">
    <cfRule type="cellIs" priority="1" dxfId="0" operator="greaterThanOrEqual" stopIfTrue="1">
      <formula>F41</formula>
    </cfRule>
  </conditionalFormatting>
  <conditionalFormatting sqref="F44">
    <cfRule type="expression" priority="2" dxfId="2" stopIfTrue="1">
      <formula>F40="Option A"</formula>
    </cfRule>
  </conditionalFormatting>
  <conditionalFormatting sqref="G44">
    <cfRule type="expression" priority="3" dxfId="2" stopIfTrue="1">
      <formula>F40="Option A"</formula>
    </cfRule>
  </conditionalFormatting>
  <conditionalFormatting sqref="E44">
    <cfRule type="expression" priority="4" dxfId="2" stopIfTrue="1">
      <formula>F40="Option A"</formula>
    </cfRule>
  </conditionalFormatting>
  <conditionalFormatting sqref="F48">
    <cfRule type="expression" priority="5" dxfId="2" stopIfTrue="1">
      <formula>F40="Option A"</formula>
    </cfRule>
  </conditionalFormatting>
  <conditionalFormatting sqref="G48">
    <cfRule type="expression" priority="6" dxfId="2" stopIfTrue="1">
      <formula>F40="Option A"</formula>
    </cfRule>
  </conditionalFormatting>
  <conditionalFormatting sqref="E48">
    <cfRule type="expression" priority="7" dxfId="11" stopIfTrue="1">
      <formula>F40="Option A"</formula>
    </cfRule>
  </conditionalFormatting>
  <conditionalFormatting sqref="F19">
    <cfRule type="cellIs" priority="8" dxfId="0" operator="greaterThan" stopIfTrue="1">
      <formula>200</formula>
    </cfRule>
  </conditionalFormatting>
  <conditionalFormatting sqref="E52:G52">
    <cfRule type="expression" priority="9" dxfId="2" stopIfTrue="1">
      <formula>$F$40="Option A"</formula>
    </cfRule>
  </conditionalFormatting>
  <conditionalFormatting sqref="F55:H55 F57:H58">
    <cfRule type="cellIs" priority="10" dxfId="0" operator="notBetween" stopIfTrue="1">
      <formula>2.9</formula>
      <formula>17</formula>
    </cfRule>
  </conditionalFormatting>
  <conditionalFormatting sqref="F56:H56">
    <cfRule type="cellIs" priority="11" dxfId="0" operator="notBetween" stopIfTrue="1">
      <formula>2.65</formula>
      <formula>17</formula>
    </cfRule>
  </conditionalFormatting>
  <dataValidations count="12">
    <dataValidation errorStyle="warning" type="decimal" operator="lessThan" allowBlank="1" showInputMessage="1" showErrorMessage="1" errorTitle="Current Sense Resistor Warning" error="If the selected value for Rs is greater than the recommended value the current limit may be less than the maximum load current. If the selected value is greater than 200 mohms see the Instructions worksheet." sqref="F19">
      <formula1>F18</formula1>
    </dataValidation>
    <dataValidation errorStyle="warning" type="decimal" operator="greaterThanOrEqual" allowBlank="1" showInputMessage="1" showErrorMessage="1" errorTitle="Timer Capacitor Value Violation" error="The selected capacitor value may result in a Fault Timeout Period shorter than the estimated turn-on time, thus preventing the LM25061 circuit from reaching normal operation." sqref="F35">
      <formula1>F34</formula1>
    </dataValidation>
    <dataValidation type="decimal" allowBlank="1" showInputMessage="1" showErrorMessage="1" errorTitle="Lower UVLO Violation" error="The lower UVLO threshold MUST be at least 2.65V, and  less than the upper UVLO threshold. They cannot be equal." sqref="F42">
      <formula1>2.65</formula1>
      <formula2>F41</formula2>
    </dataValidation>
    <dataValidation type="list" allowBlank="1" showInputMessage="1" showErrorMessage="1" sqref="F40">
      <formula1>T45:T46</formula1>
    </dataValidation>
    <dataValidation type="decimal" allowBlank="1" showInputMessage="1" showErrorMessage="1" errorTitle="Upper OVLO Threshold Violation" error="The Upper OVLO Threshold must be greater than the upper UVLO threshold, and less than 17V." sqref="F43">
      <formula1>F41+0.01</formula1>
      <formula2>17</formula2>
    </dataValidation>
    <dataValidation type="decimal" allowBlank="1" showInputMessage="1" showErrorMessage="1" errorTitle="Lower OVLO Threshold Violation" error="The lower OVLO threshold must be greater than the upper UVLO threshold, and less than the upper OVLO threshold." sqref="F44">
      <formula1>F41+0.01</formula1>
      <formula2>F43</formula2>
    </dataValidation>
    <dataValidation errorStyle="warning" type="decimal" operator="greaterThanOrEqual" allowBlank="1" showInputMessage="1" showErrorMessage="1" errorTitle="Timer Capacitor Value Violation" error="The selected capacitor value may result in a Fault Timeout Period shorter than the estimated turn-on time, thus preventing the LM25069 circuit from reaching normal operation." sqref="F34">
      <formula1>F33</formula1>
    </dataValidation>
    <dataValidation type="decimal" operator="greaterThanOrEqual" allowBlank="1" showInputMessage="1" showErrorMessage="1" errorTitle="Minimum System Voltage Violation" error="The minimum system voltage must be at least 2.9V." sqref="F12">
      <formula1>2.9</formula1>
    </dataValidation>
    <dataValidation type="decimal" operator="lessThanOrEqual" allowBlank="1" showInputMessage="1" showErrorMessage="1" errorTitle="Maximum System Voltage Violation" error="The maximum system voltage must be no greater than 17V." sqref="F13">
      <formula1>17</formula1>
    </dataValidation>
    <dataValidation type="decimal" operator="greaterThanOrEqual" allowBlank="1" showInputMessage="1" showErrorMessage="1" errorTitle="Load Capacitance Violation" error="A minimum load capacitance of 10 uF is required to help prevent disruptions at turn off." sqref="F15">
      <formula1>10</formula1>
    </dataValidation>
    <dataValidation errorStyle="warning" type="decimal" operator="lessThanOrEqual" allowBlank="1" showInputMessage="1" showErrorMessage="1" errorTitle="Powr Limit Resistor Violation" error="The selected value cannot exceed 150 kohms for proper power limiting. If power limiting is not required, enter 1000." sqref="F27">
      <formula1>150</formula1>
    </dataValidation>
    <dataValidation type="decimal" allowBlank="1" showInputMessage="1" showErrorMessage="1" errorTitle="UVLO Threshold Violation" error="The upper UVLO threshold must be no less than 2.9V, and no greater than 17V." sqref="F41">
      <formula1>2.9</formula1>
      <formula2>17</formula2>
    </dataValidation>
  </dataValidations>
  <printOptions/>
  <pageMargins left="0.75" right="0.75" top="1" bottom="1" header="0.5" footer="0.5"/>
  <pageSetup fitToHeight="5" fitToWidth="2" horizontalDpi="600" verticalDpi="600" orientation="landscape" scale="65" r:id="rId8"/>
  <rowBreaks count="2" manualBreakCount="2">
    <brk id="38" max="255" man="1"/>
    <brk id="78" max="12" man="1"/>
  </rowBreaks>
  <colBreaks count="1" manualBreakCount="1">
    <brk id="13" max="65535" man="1"/>
  </colBreaks>
  <ignoredErrors>
    <ignoredError sqref="V49" formula="1"/>
  </ignoredErrors>
  <drawing r:id="rId7"/>
  <legacyDrawing r:id="rId6"/>
  <oleObjects>
    <oleObject progId="Visio.Drawing.6" shapeId="1879829" r:id="rId2"/>
    <oleObject progId="Visio.Drawing.6" shapeId="1882450" r:id="rId3"/>
    <oleObject progId="Visio.Drawing.6" shapeId="637340" r:id="rId4"/>
    <oleObject progId="Visio.Drawing.6" shapeId="1412689"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dmorgan</dc:creator>
  <cp:keywords/>
  <dc:description/>
  <cp:lastModifiedBy>shyam</cp:lastModifiedBy>
  <cp:lastPrinted>2009-07-15T21:32:55Z</cp:lastPrinted>
  <dcterms:created xsi:type="dcterms:W3CDTF">2009-04-21T16:00:33Z</dcterms:created>
  <dcterms:modified xsi:type="dcterms:W3CDTF">2022-01-07T07:29:27Z</dcterms:modified>
  <cp:category/>
  <cp:version/>
  <cp:contentType/>
  <cp:contentStatus/>
</cp:coreProperties>
</file>