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harts/chart4.xml" ContentType="application/vnd.openxmlformats-officedocument.drawingml.chart+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APET-1\Desktop\"/>
    </mc:Choice>
  </mc:AlternateContent>
  <workbookProtection workbookPassword="DDA0" lockStructure="1"/>
  <bookViews>
    <workbookView xWindow="1485" yWindow="810" windowWidth="5970" windowHeight="4665" tabRatio="669" activeTab="1"/>
  </bookViews>
  <sheets>
    <sheet name="Instructions" sheetId="15" r:id="rId1"/>
    <sheet name="Design Calculator" sheetId="1" r:id="rId2"/>
    <sheet name="Device Parmaters" sheetId="6" state="hidden" r:id="rId3"/>
    <sheet name="Equations" sheetId="3" state="hidden" r:id="rId4"/>
    <sheet name="Start_up" sheetId="13" state="hidden" r:id="rId5"/>
    <sheet name="SOA" sheetId="7" state="hidden" r:id="rId6"/>
    <sheet name="dv_dt_recommendations" sheetId="14" state="hidden" r:id="rId7"/>
  </sheets>
  <externalReferences>
    <externalReference r:id="rId8"/>
    <externalReference r:id="rId9"/>
  </externalReferences>
  <definedNames>
    <definedName name="_xlnm.Print_Area" localSheetId="1">'Design Calculator'!$A$1:$M$207</definedName>
    <definedName name="CLMAX">Equations!$F$26</definedName>
    <definedName name="CLMAX_Threshold">Equations!$E$17</definedName>
    <definedName name="CLMIN">Equations!$F$24</definedName>
    <definedName name="CLMIN_Threshold">Equations!$E$15</definedName>
    <definedName name="CLNOM">Equations!$F$25</definedName>
    <definedName name="CLNOM_Threshold">Equations!$E$16</definedName>
    <definedName name="COUTMAX">'Design Calculator'!$F$31</definedName>
    <definedName name="CTIMER">'Design Calculator'!#REF!</definedName>
    <definedName name="FETPDISS">'Design Calculator'!$F$62</definedName>
    <definedName name="I_Cout_ss">Equations!$F$66</definedName>
    <definedName name="ILIM" localSheetId="5">[1]ILIM_SOA_considerations!$C$25</definedName>
    <definedName name="ILIM">[2]ILIM_SOA_considerations!$C$25</definedName>
    <definedName name="Ilim_min" localSheetId="5">[1]ILIM_SOA_considerations!$C$61</definedName>
    <definedName name="Ilim_min">[2]ILIM_SOA_considerations!$C$61</definedName>
    <definedName name="IOUTMAX">'Design Calculator'!$F$30</definedName>
    <definedName name="MaxFETPW">'Design Calculator'!#REF!</definedName>
    <definedName name="NUMFETS">'Design Calculator'!$F$54</definedName>
    <definedName name="PLIM" localSheetId="5">[1]ILIM_SOA_considerations!$C$40</definedName>
    <definedName name="PLIM">[2]ILIM_SOA_considerations!$C$40</definedName>
    <definedName name="PLIMMAX">'Design Calculator'!#REF!</definedName>
    <definedName name="PLIMMIN">'Design Calculator'!#REF!</definedName>
    <definedName name="PLIMNOM">'Design Calculator'!#REF!</definedName>
    <definedName name="RDIV1">'Design Calculator'!$F$43</definedName>
    <definedName name="RDIV2">'Design Calculator'!$F$44</definedName>
    <definedName name="RDSON">'Design Calculator'!$AN$55</definedName>
    <definedName name="RPWR">'Design Calculator'!$F$67</definedName>
    <definedName name="Rrflt" localSheetId="5">[1]ILIM_SOA_considerations!$C$46</definedName>
    <definedName name="Rrflt">[2]ILIM_SOA_considerations!$C$46</definedName>
    <definedName name="Rs">'Design Calculator'!$F$40</definedName>
    <definedName name="RsEFF">Equations!$F$23</definedName>
    <definedName name="Rsense" localSheetId="5">[1]ILIM_SOA_considerations!$C$30</definedName>
    <definedName name="Rsense">[2]ILIM_SOA_considerations!$C$30</definedName>
    <definedName name="RsMAX">'Design Calculator'!$F$38</definedName>
    <definedName name="SOA_av" localSheetId="5">[1]ILIM_SOA_considerations!$C$52</definedName>
    <definedName name="SOA_av">[2]ILIM_SOA_considerations!$C$52</definedName>
    <definedName name="solver_adj" localSheetId="5" hidden="1">SOA!#REF!</definedName>
    <definedName name="solver_cvg" localSheetId="5" hidden="1">0.0001</definedName>
    <definedName name="solver_drv" localSheetId="5" hidden="1">1</definedName>
    <definedName name="solver_eng" localSheetId="5" hidden="1">1</definedName>
    <definedName name="solver_est" localSheetId="5" hidden="1">1</definedName>
    <definedName name="solver_itr" localSheetId="5" hidden="1">2147483647</definedName>
    <definedName name="solver_mip" localSheetId="5" hidden="1">2147483647</definedName>
    <definedName name="solver_mni" localSheetId="5" hidden="1">30</definedName>
    <definedName name="solver_mrt" localSheetId="5" hidden="1">0.075</definedName>
    <definedName name="solver_msl" localSheetId="5" hidden="1">2</definedName>
    <definedName name="solver_neg" localSheetId="5" hidden="1">1</definedName>
    <definedName name="solver_nod" localSheetId="5" hidden="1">2147483647</definedName>
    <definedName name="solver_num" localSheetId="5" hidden="1">0</definedName>
    <definedName name="solver_nwt" localSheetId="5" hidden="1">1</definedName>
    <definedName name="solver_opt" localSheetId="5" hidden="1">SOA!#REF!</definedName>
    <definedName name="solver_pre" localSheetId="5" hidden="1">0.000001</definedName>
    <definedName name="solver_rbv" localSheetId="5" hidden="1">1</definedName>
    <definedName name="solver_rlx" localSheetId="5" hidden="1">2</definedName>
    <definedName name="solver_rsd" localSheetId="5" hidden="1">0</definedName>
    <definedName name="solver_scl" localSheetId="5" hidden="1">1</definedName>
    <definedName name="solver_sho" localSheetId="5" hidden="1">2</definedName>
    <definedName name="solver_ssz" localSheetId="5" hidden="1">100</definedName>
    <definedName name="solver_tim" localSheetId="5" hidden="1">2147483647</definedName>
    <definedName name="solver_tol" localSheetId="5" hidden="1">0.01</definedName>
    <definedName name="solver_typ" localSheetId="5" hidden="1">3</definedName>
    <definedName name="solver_val" localSheetId="5" hidden="1">0</definedName>
    <definedName name="solver_ver" localSheetId="5" hidden="1">3</definedName>
    <definedName name="ss_rate">Equations!$F$62</definedName>
    <definedName name="T_cap_charge" localSheetId="5">[1]ILIM_SOA_considerations!$C$45</definedName>
    <definedName name="T_cap_charge">[2]ILIM_SOA_considerations!$C$45</definedName>
    <definedName name="T_margin" localSheetId="5">[1]ILIM_SOA_considerations!$C$9</definedName>
    <definedName name="T_margin">[2]ILIM_SOA_considerations!$C$9</definedName>
    <definedName name="T_total" localSheetId="5">[1]ILIM_SOA_considerations!$C$47</definedName>
    <definedName name="T_total">[2]ILIM_SOA_considerations!$C$47</definedName>
    <definedName name="TAMB">'Design Calculator'!$F$32</definedName>
    <definedName name="Tfault">'Design Calculator'!$F$78</definedName>
    <definedName name="Tfaultmax">'Design Calculator'!#REF!</definedName>
    <definedName name="ThetaJA">'Design Calculator'!$F$53</definedName>
    <definedName name="TINSERT">'Design Calculator'!$F$93</definedName>
    <definedName name="TINSERTMAX">Equations!$F$109</definedName>
    <definedName name="TINSERTMIN">Equations!$F$107</definedName>
    <definedName name="TJ">'Design Calculator'!$F$63</definedName>
    <definedName name="TJMAX">'Design Calculator'!$AN$56</definedName>
    <definedName name="Tsd" localSheetId="5">[1]ILIM_SOA_considerations!$C$67</definedName>
    <definedName name="Tsd">[2]ILIM_SOA_considerations!$C$67</definedName>
    <definedName name="TSTARTMAX">Equations!$F$96</definedName>
    <definedName name="TSTARTMIN">Equations!$F$94</definedName>
    <definedName name="TSTARTNOM">Equations!$F$95</definedName>
    <definedName name="V_sns_cl_max" localSheetId="5">[1]ILIM_SOA_considerations!$C$15</definedName>
    <definedName name="V_sns_cl_max">[2]ILIM_SOA_considerations!$C$15</definedName>
    <definedName name="Vbus" localSheetId="5">[1]ILIM_SOA_considerations!$C$23</definedName>
    <definedName name="Vbus">[2]ILIM_SOA_considerations!$C$23</definedName>
    <definedName name="VINMAX">'Design Calculator'!$F$29</definedName>
    <definedName name="VINMIN">'Design Calculator'!$F$27</definedName>
    <definedName name="VINNOM">'Design Calculator'!$F$28</definedName>
    <definedName name="yesno">'Design Calculator'!$AQ$16:$AQ$17</definedName>
  </definedNames>
  <calcPr calcId="162913"/>
</workbook>
</file>

<file path=xl/calcChain.xml><?xml version="1.0" encoding="utf-8"?>
<calcChain xmlns="http://schemas.openxmlformats.org/spreadsheetml/2006/main">
  <c r="F141" i="1" l="1"/>
  <c r="F134" i="1" l="1"/>
  <c r="F133" i="1"/>
  <c r="F128" i="1"/>
  <c r="AN56" i="1" l="1"/>
  <c r="AN57" i="1"/>
  <c r="AN58" i="1"/>
  <c r="AN59" i="1"/>
  <c r="AN60" i="1"/>
  <c r="AN61" i="1"/>
  <c r="AN55" i="1"/>
  <c r="F62" i="1" s="1"/>
  <c r="F63" i="1" s="1"/>
  <c r="F145" i="1" l="1"/>
  <c r="E29" i="14"/>
  <c r="E32" i="14" s="1"/>
  <c r="E27" i="14"/>
  <c r="E26" i="14"/>
  <c r="E25" i="14"/>
  <c r="E21" i="14"/>
  <c r="H24" i="7"/>
  <c r="H25" i="7" s="1"/>
  <c r="H9" i="7"/>
  <c r="C9" i="7"/>
  <c r="E35" i="14" l="1"/>
  <c r="E19" i="14"/>
  <c r="E59" i="14"/>
  <c r="F35" i="14"/>
  <c r="E37" i="14"/>
  <c r="E36" i="14"/>
  <c r="F136" i="3"/>
  <c r="B13" i="13"/>
  <c r="B14" i="13"/>
  <c r="B15" i="13"/>
  <c r="B16" i="13"/>
  <c r="B17" i="13"/>
  <c r="B18" i="13"/>
  <c r="B19" i="13"/>
  <c r="B20" i="13"/>
  <c r="B21" i="13"/>
  <c r="B22" i="13"/>
  <c r="B23" i="13"/>
  <c r="B24" i="13"/>
  <c r="B25" i="13"/>
  <c r="B26" i="13"/>
  <c r="B27" i="13"/>
  <c r="B28" i="13"/>
  <c r="B29" i="13"/>
  <c r="B30" i="13"/>
  <c r="B31" i="13"/>
  <c r="B32" i="13"/>
  <c r="B33" i="13"/>
  <c r="B34" i="13"/>
  <c r="B35" i="13"/>
  <c r="B36" i="13"/>
  <c r="B37" i="13"/>
  <c r="B38" i="13"/>
  <c r="B39" i="13"/>
  <c r="B40" i="13"/>
  <c r="B41" i="13"/>
  <c r="B42" i="13"/>
  <c r="B43" i="13"/>
  <c r="B44" i="13"/>
  <c r="B45" i="13"/>
  <c r="B46" i="13"/>
  <c r="B47" i="13"/>
  <c r="B48" i="13"/>
  <c r="B49" i="13"/>
  <c r="B50" i="13"/>
  <c r="B51" i="13"/>
  <c r="B52" i="13"/>
  <c r="B53" i="13"/>
  <c r="B54" i="13"/>
  <c r="B55" i="13"/>
  <c r="B56" i="13"/>
  <c r="B57" i="13"/>
  <c r="B58" i="13"/>
  <c r="B59" i="13"/>
  <c r="B60" i="13"/>
  <c r="B61" i="13"/>
  <c r="B62" i="13"/>
  <c r="B63" i="13"/>
  <c r="B64" i="13"/>
  <c r="B65" i="13"/>
  <c r="B66" i="13"/>
  <c r="B67" i="13"/>
  <c r="B68" i="13"/>
  <c r="B69" i="13"/>
  <c r="B70" i="13"/>
  <c r="B71" i="13"/>
  <c r="B72" i="13"/>
  <c r="B73" i="13"/>
  <c r="B74" i="13"/>
  <c r="B75" i="13"/>
  <c r="B76" i="13"/>
  <c r="B77" i="13"/>
  <c r="B78" i="13"/>
  <c r="B79" i="13"/>
  <c r="B80" i="13"/>
  <c r="B81" i="13"/>
  <c r="B82" i="13"/>
  <c r="B83" i="13"/>
  <c r="B84" i="13"/>
  <c r="B85" i="13"/>
  <c r="B86" i="13"/>
  <c r="B87" i="13"/>
  <c r="B88" i="13"/>
  <c r="B89" i="13"/>
  <c r="B90" i="13"/>
  <c r="B91" i="13"/>
  <c r="B92" i="13"/>
  <c r="B93" i="13"/>
  <c r="B94" i="13"/>
  <c r="B95" i="13"/>
  <c r="B96" i="13"/>
  <c r="B97" i="13"/>
  <c r="B98" i="13"/>
  <c r="B99" i="13"/>
  <c r="B100" i="13"/>
  <c r="B101" i="13"/>
  <c r="B102" i="13"/>
  <c r="B103" i="13"/>
  <c r="B104" i="13"/>
  <c r="B105" i="13"/>
  <c r="B106" i="13"/>
  <c r="B107" i="13"/>
  <c r="B108" i="13"/>
  <c r="B109" i="13"/>
  <c r="B110" i="13"/>
  <c r="B111" i="13"/>
  <c r="B112" i="13"/>
  <c r="B113" i="13"/>
  <c r="B114" i="13"/>
  <c r="B11" i="13"/>
  <c r="B12" i="13"/>
  <c r="B10" i="13"/>
  <c r="B4" i="7"/>
  <c r="C4" i="7"/>
  <c r="D4" i="7"/>
  <c r="E4" i="7"/>
  <c r="F4" i="7"/>
  <c r="C34" i="7" l="1"/>
  <c r="C33" i="7" s="1"/>
  <c r="J24" i="14" s="1"/>
  <c r="E34" i="7"/>
  <c r="L25" i="14" s="1"/>
  <c r="F34" i="7"/>
  <c r="M25" i="14" s="1"/>
  <c r="D34" i="7"/>
  <c r="H27" i="7"/>
  <c r="E40" i="14"/>
  <c r="E39" i="14"/>
  <c r="F37" i="14"/>
  <c r="F36" i="14"/>
  <c r="G35" i="14"/>
  <c r="E41" i="14"/>
  <c r="E42" i="14" s="1"/>
  <c r="F62" i="3"/>
  <c r="F63" i="3" s="1"/>
  <c r="J25" i="14" l="1"/>
  <c r="E33" i="7"/>
  <c r="L24" i="14" s="1"/>
  <c r="D33" i="7"/>
  <c r="K24" i="14" s="1"/>
  <c r="K25" i="14"/>
  <c r="F33" i="7"/>
  <c r="M24" i="14" s="1"/>
  <c r="H35" i="14"/>
  <c r="G37" i="14"/>
  <c r="G36" i="14"/>
  <c r="E44" i="14"/>
  <c r="F40" i="14"/>
  <c r="F39" i="14"/>
  <c r="F41" i="14"/>
  <c r="F42" i="14" s="1"/>
  <c r="F78" i="3"/>
  <c r="F79" i="3" s="1"/>
  <c r="F76" i="3"/>
  <c r="F2" i="13"/>
  <c r="F44" i="14" l="1"/>
  <c r="G40" i="14"/>
  <c r="G39" i="14"/>
  <c r="G41" i="14"/>
  <c r="G42" i="14" s="1"/>
  <c r="H37" i="14"/>
  <c r="H36" i="14"/>
  <c r="I35" i="14"/>
  <c r="J35" i="14" l="1"/>
  <c r="I37" i="14"/>
  <c r="I36" i="14"/>
  <c r="G44" i="14"/>
  <c r="H39" i="14"/>
  <c r="H40" i="14"/>
  <c r="H41" i="14"/>
  <c r="H42" i="14" s="1"/>
  <c r="D26" i="6"/>
  <c r="H44" i="14" l="1"/>
  <c r="I40" i="14"/>
  <c r="I39" i="14"/>
  <c r="I41" i="14"/>
  <c r="I42" i="14" s="1"/>
  <c r="J37" i="14"/>
  <c r="J36" i="14"/>
  <c r="K35" i="14"/>
  <c r="F91" i="1"/>
  <c r="F77" i="3"/>
  <c r="F89" i="1" s="1"/>
  <c r="I44" i="14" l="1"/>
  <c r="L35" i="14"/>
  <c r="K36" i="14"/>
  <c r="K37" i="14"/>
  <c r="J40" i="14"/>
  <c r="J39" i="14"/>
  <c r="J41" i="14"/>
  <c r="J42" i="14" s="1"/>
  <c r="F64" i="3"/>
  <c r="R2" i="13"/>
  <c r="Q2" i="13"/>
  <c r="A114" i="13"/>
  <c r="A113" i="13"/>
  <c r="A112" i="13"/>
  <c r="H2" i="13"/>
  <c r="K40" i="14" l="1"/>
  <c r="K39" i="14"/>
  <c r="K41" i="14"/>
  <c r="K42" i="14" s="1"/>
  <c r="J44" i="14"/>
  <c r="L37" i="14"/>
  <c r="L36" i="14"/>
  <c r="M35" i="14"/>
  <c r="F54" i="3"/>
  <c r="O212" i="3"/>
  <c r="E216" i="3"/>
  <c r="E214" i="3"/>
  <c r="F41" i="3"/>
  <c r="F57" i="3"/>
  <c r="F108" i="3" s="1"/>
  <c r="N35" i="14" l="1"/>
  <c r="M36" i="14"/>
  <c r="M37" i="14"/>
  <c r="L40" i="14"/>
  <c r="L39" i="14"/>
  <c r="L41" i="14"/>
  <c r="L42" i="14" s="1"/>
  <c r="K44" i="14"/>
  <c r="F58" i="3"/>
  <c r="F78" i="1" s="1"/>
  <c r="F93" i="1"/>
  <c r="F109" i="3"/>
  <c r="F107" i="3"/>
  <c r="F84" i="1"/>
  <c r="D2" i="13"/>
  <c r="J2" i="13"/>
  <c r="G2" i="13"/>
  <c r="N17" i="6"/>
  <c r="F39" i="3"/>
  <c r="A10" i="13"/>
  <c r="A11" i="13"/>
  <c r="A12" i="13"/>
  <c r="A13" i="13"/>
  <c r="A14" i="13"/>
  <c r="A15" i="13"/>
  <c r="A16" i="13"/>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42" i="13"/>
  <c r="A43" i="13"/>
  <c r="A44" i="13"/>
  <c r="A45" i="13"/>
  <c r="A46" i="13"/>
  <c r="A47" i="13"/>
  <c r="A48" i="13"/>
  <c r="A49" i="13"/>
  <c r="A50" i="13"/>
  <c r="A51" i="13"/>
  <c r="A52" i="13"/>
  <c r="A53" i="13"/>
  <c r="A54" i="13"/>
  <c r="A55" i="13"/>
  <c r="A56" i="13"/>
  <c r="A57" i="13"/>
  <c r="A58" i="13"/>
  <c r="A59" i="13"/>
  <c r="A60" i="13"/>
  <c r="A61" i="13"/>
  <c r="A62" i="13"/>
  <c r="A63" i="13"/>
  <c r="A64" i="13"/>
  <c r="A65" i="13"/>
  <c r="A66" i="13"/>
  <c r="A67" i="13"/>
  <c r="A68" i="13"/>
  <c r="A69" i="13"/>
  <c r="A70" i="13"/>
  <c r="A71" i="13"/>
  <c r="A72" i="13"/>
  <c r="A73" i="13"/>
  <c r="A74" i="13"/>
  <c r="A75" i="13"/>
  <c r="A76" i="13"/>
  <c r="A77" i="13"/>
  <c r="A78" i="13"/>
  <c r="A79" i="13"/>
  <c r="A80" i="13"/>
  <c r="A81" i="13"/>
  <c r="A82" i="13"/>
  <c r="A83" i="13"/>
  <c r="A84" i="13"/>
  <c r="A85" i="13"/>
  <c r="A86" i="13"/>
  <c r="A87" i="13"/>
  <c r="A88" i="13"/>
  <c r="A89" i="13"/>
  <c r="A90" i="13"/>
  <c r="A91" i="13"/>
  <c r="A92" i="13"/>
  <c r="A93" i="13"/>
  <c r="A94" i="13"/>
  <c r="A95" i="13"/>
  <c r="A96" i="13"/>
  <c r="A97" i="13"/>
  <c r="A98" i="13"/>
  <c r="A99" i="13"/>
  <c r="A100" i="13"/>
  <c r="A101" i="13"/>
  <c r="A102" i="13"/>
  <c r="A103" i="13"/>
  <c r="A104" i="13"/>
  <c r="A105" i="13"/>
  <c r="A106" i="13"/>
  <c r="A107" i="13"/>
  <c r="A108" i="13"/>
  <c r="A109" i="13"/>
  <c r="A110" i="13"/>
  <c r="A111" i="13"/>
  <c r="Y22" i="13"/>
  <c r="Y15" i="13"/>
  <c r="Y18" i="13" s="1"/>
  <c r="N18" i="6"/>
  <c r="L18" i="6"/>
  <c r="M18" i="6" s="1"/>
  <c r="L17" i="6"/>
  <c r="Q17" i="6" s="1"/>
  <c r="M17" i="6" l="1"/>
  <c r="C8" i="7"/>
  <c r="C10" i="7" s="1"/>
  <c r="C12" i="7" s="1"/>
  <c r="C13" i="7" s="1"/>
  <c r="C15" i="7" s="1"/>
  <c r="K133" i="1"/>
  <c r="M40" i="14"/>
  <c r="M39" i="14"/>
  <c r="M41" i="14"/>
  <c r="M42" i="14" s="1"/>
  <c r="L44" i="14"/>
  <c r="N37" i="14"/>
  <c r="N36" i="14"/>
  <c r="O35" i="14"/>
  <c r="F65" i="3"/>
  <c r="F86" i="1" s="1"/>
  <c r="C114" i="13"/>
  <c r="C113" i="13"/>
  <c r="C112" i="13"/>
  <c r="C80" i="13"/>
  <c r="C62" i="13"/>
  <c r="C111" i="13"/>
  <c r="C75" i="13"/>
  <c r="C43" i="13"/>
  <c r="C95" i="13"/>
  <c r="C91" i="13"/>
  <c r="C102" i="13"/>
  <c r="C76" i="13"/>
  <c r="C72" i="13"/>
  <c r="C15" i="13"/>
  <c r="C11" i="13"/>
  <c r="C101" i="13"/>
  <c r="C100" i="13"/>
  <c r="C98" i="13"/>
  <c r="C90" i="13"/>
  <c r="C79" i="13"/>
  <c r="C74" i="13"/>
  <c r="C58" i="13"/>
  <c r="C54" i="13"/>
  <c r="C49" i="13"/>
  <c r="C47" i="13"/>
  <c r="C39" i="13"/>
  <c r="C32" i="13"/>
  <c r="C23" i="13"/>
  <c r="C19" i="13"/>
  <c r="C110" i="13"/>
  <c r="C109" i="13"/>
  <c r="C107" i="13"/>
  <c r="C99" i="13"/>
  <c r="C96" i="13"/>
  <c r="C84" i="13"/>
  <c r="C82" i="13"/>
  <c r="C69" i="13"/>
  <c r="C67" i="13"/>
  <c r="C65" i="13"/>
  <c r="C63" i="13"/>
  <c r="C59" i="13"/>
  <c r="C36" i="13"/>
  <c r="C20" i="13"/>
  <c r="C105" i="13"/>
  <c r="C103" i="13"/>
  <c r="C92" i="13"/>
  <c r="C88" i="13"/>
  <c r="C87" i="13"/>
  <c r="C83" i="13"/>
  <c r="C71" i="13"/>
  <c r="C68" i="13"/>
  <c r="C66" i="13"/>
  <c r="C57" i="13"/>
  <c r="C55" i="13"/>
  <c r="C51" i="13"/>
  <c r="C46" i="13"/>
  <c r="C44" i="13"/>
  <c r="C40" i="13"/>
  <c r="C35" i="13"/>
  <c r="C31" i="13"/>
  <c r="C27" i="13"/>
  <c r="C50" i="13"/>
  <c r="C28" i="13"/>
  <c r="C24" i="13"/>
  <c r="C16" i="13"/>
  <c r="C12" i="13"/>
  <c r="C108" i="13"/>
  <c r="C94" i="13"/>
  <c r="C77" i="13"/>
  <c r="C106" i="13"/>
  <c r="C93" i="13"/>
  <c r="C86" i="13"/>
  <c r="C104" i="13"/>
  <c r="C85" i="13"/>
  <c r="C78" i="13"/>
  <c r="C97" i="13"/>
  <c r="C89" i="13"/>
  <c r="C81" i="13"/>
  <c r="C73" i="13"/>
  <c r="C61" i="13"/>
  <c r="C53" i="13"/>
  <c r="C70" i="13"/>
  <c r="C60" i="13"/>
  <c r="C52" i="13"/>
  <c r="C64" i="13"/>
  <c r="C56" i="13"/>
  <c r="C48" i="13"/>
  <c r="C45" i="13"/>
  <c r="C42" i="13"/>
  <c r="C41" i="13"/>
  <c r="C38" i="13"/>
  <c r="C37" i="13"/>
  <c r="C34" i="13"/>
  <c r="C33" i="13"/>
  <c r="C30" i="13"/>
  <c r="C29" i="13"/>
  <c r="C26" i="13"/>
  <c r="C25" i="13"/>
  <c r="C22" i="13"/>
  <c r="C21" i="13"/>
  <c r="C18" i="13"/>
  <c r="C17" i="13"/>
  <c r="C14" i="13"/>
  <c r="C13" i="13"/>
  <c r="Y24" i="13"/>
  <c r="C10" i="13"/>
  <c r="AN43" i="1"/>
  <c r="C11" i="7" l="1"/>
  <c r="C14" i="7" s="1"/>
  <c r="C19" i="7" s="1"/>
  <c r="C18" i="7" s="1"/>
  <c r="C20" i="7" s="1"/>
  <c r="C22" i="7" s="1"/>
  <c r="P35" i="14"/>
  <c r="O37" i="14"/>
  <c r="O36" i="14"/>
  <c r="N40" i="14"/>
  <c r="N39" i="14"/>
  <c r="N41" i="14"/>
  <c r="N42" i="14" s="1"/>
  <c r="M44" i="14"/>
  <c r="F66" i="3"/>
  <c r="F67" i="3"/>
  <c r="E23" i="14" s="1"/>
  <c r="F124" i="1"/>
  <c r="F144" i="1"/>
  <c r="N44" i="14" l="1"/>
  <c r="O40" i="14"/>
  <c r="O39" i="14"/>
  <c r="O41" i="14"/>
  <c r="O42" i="14" s="1"/>
  <c r="P37" i="14"/>
  <c r="P36" i="14"/>
  <c r="Q35" i="14"/>
  <c r="F118" i="3"/>
  <c r="F117" i="3"/>
  <c r="K141" i="1" s="1"/>
  <c r="F116" i="3"/>
  <c r="F115" i="3"/>
  <c r="F113" i="3"/>
  <c r="F114" i="3"/>
  <c r="K139" i="1" l="1"/>
  <c r="F122" i="1"/>
  <c r="R35" i="14"/>
  <c r="Q37" i="14"/>
  <c r="Q36" i="14"/>
  <c r="P39" i="14"/>
  <c r="P40" i="14"/>
  <c r="P41" i="14"/>
  <c r="P42" i="14" s="1"/>
  <c r="O44" i="14"/>
  <c r="F123" i="1"/>
  <c r="F118" i="1"/>
  <c r="F119" i="1" s="1"/>
  <c r="J112" i="3"/>
  <c r="I110" i="3"/>
  <c r="I112" i="3"/>
  <c r="H112" i="3"/>
  <c r="J110" i="3"/>
  <c r="H110" i="3"/>
  <c r="F110" i="3" s="1"/>
  <c r="J111" i="3"/>
  <c r="I111" i="3"/>
  <c r="H111" i="3"/>
  <c r="Q39" i="14" l="1"/>
  <c r="Q40" i="14"/>
  <c r="Q41" i="14"/>
  <c r="Q42" i="14" s="1"/>
  <c r="P44" i="14"/>
  <c r="R37" i="14"/>
  <c r="R36" i="14"/>
  <c r="S35" i="14"/>
  <c r="F112" i="3"/>
  <c r="F111" i="3"/>
  <c r="F143" i="1"/>
  <c r="F142" i="1"/>
  <c r="T35" i="14" l="1"/>
  <c r="S36" i="14"/>
  <c r="S37" i="14"/>
  <c r="R40" i="14"/>
  <c r="R39" i="14"/>
  <c r="R41" i="14"/>
  <c r="R42" i="14" s="1"/>
  <c r="Q44" i="14"/>
  <c r="AO53" i="1"/>
  <c r="S40" i="14" l="1"/>
  <c r="S39" i="14"/>
  <c r="S41" i="14"/>
  <c r="S42" i="14" s="1"/>
  <c r="R44" i="14"/>
  <c r="T37" i="14"/>
  <c r="T36" i="14"/>
  <c r="U35" i="14"/>
  <c r="S44" i="14" l="1"/>
  <c r="V35" i="14"/>
  <c r="U36" i="14"/>
  <c r="U37" i="14"/>
  <c r="T40" i="14"/>
  <c r="T39" i="14"/>
  <c r="T41" i="14"/>
  <c r="T42" i="14" s="1"/>
  <c r="F127" i="1"/>
  <c r="U40" i="14" l="1"/>
  <c r="U39" i="14"/>
  <c r="U41" i="14"/>
  <c r="U42" i="14" s="1"/>
  <c r="T44" i="14"/>
  <c r="V37" i="14"/>
  <c r="V36" i="14"/>
  <c r="W35" i="14"/>
  <c r="E17" i="3"/>
  <c r="E16" i="3"/>
  <c r="E15" i="3"/>
  <c r="F20" i="3" s="1"/>
  <c r="F38" i="1" s="1"/>
  <c r="F21" i="3" l="1"/>
  <c r="F41" i="1" s="1"/>
  <c r="F126" i="1"/>
  <c r="F125" i="1"/>
  <c r="X35" i="14"/>
  <c r="W37" i="14"/>
  <c r="W36" i="14"/>
  <c r="V40" i="14"/>
  <c r="V39" i="14"/>
  <c r="V41" i="14"/>
  <c r="V42" i="14" s="1"/>
  <c r="U44" i="14"/>
  <c r="F22" i="3" l="1"/>
  <c r="V44" i="14"/>
  <c r="W40" i="14"/>
  <c r="W39" i="14"/>
  <c r="W41" i="14"/>
  <c r="W42" i="14" s="1"/>
  <c r="X37" i="14"/>
  <c r="X36" i="14"/>
  <c r="F23" i="3"/>
  <c r="F45" i="1" s="1"/>
  <c r="E215" i="3" l="1"/>
  <c r="F42" i="3"/>
  <c r="F68" i="1" s="1"/>
  <c r="W44" i="14"/>
  <c r="X39" i="14"/>
  <c r="X40" i="14"/>
  <c r="X41" i="14"/>
  <c r="X42" i="14" s="1"/>
  <c r="F38" i="3"/>
  <c r="F64" i="1" s="1"/>
  <c r="F40" i="3"/>
  <c r="F66" i="1" s="1"/>
  <c r="I2" i="13"/>
  <c r="F25" i="3"/>
  <c r="F47" i="1" s="1"/>
  <c r="F26" i="3"/>
  <c r="F24" i="3"/>
  <c r="F42" i="1"/>
  <c r="X44" i="14" l="1"/>
  <c r="C25" i="7"/>
  <c r="F180" i="3"/>
  <c r="F46" i="1"/>
  <c r="F47" i="3"/>
  <c r="F185" i="3" s="1"/>
  <c r="F201" i="3" s="1"/>
  <c r="K128" i="1"/>
  <c r="K130" i="1" s="1"/>
  <c r="C2" i="13"/>
  <c r="E114" i="13" s="1"/>
  <c r="F48" i="1"/>
  <c r="F27" i="3"/>
  <c r="F49" i="1" s="1"/>
  <c r="AN53" i="1"/>
  <c r="B2" i="13" l="1"/>
  <c r="K129" i="1"/>
  <c r="C26" i="7"/>
  <c r="F209" i="3"/>
  <c r="B209" i="3" s="1"/>
  <c r="F208" i="3"/>
  <c r="E208" i="3" s="1"/>
  <c r="F48" i="3"/>
  <c r="F186" i="3" s="1"/>
  <c r="F194" i="3"/>
  <c r="E194" i="3" s="1"/>
  <c r="F207" i="3"/>
  <c r="E207" i="3" s="1"/>
  <c r="F203" i="3"/>
  <c r="E203" i="3" s="1"/>
  <c r="F197" i="3"/>
  <c r="G197" i="3" s="1"/>
  <c r="F206" i="3"/>
  <c r="E206" i="3" s="1"/>
  <c r="F210" i="3"/>
  <c r="G210" i="3" s="1"/>
  <c r="F204" i="3"/>
  <c r="B204" i="3" s="1"/>
  <c r="F199" i="3"/>
  <c r="E199" i="3" s="1"/>
  <c r="F202" i="3"/>
  <c r="B202" i="3" s="1"/>
  <c r="F205" i="3"/>
  <c r="E205" i="3" s="1"/>
  <c r="F196" i="3"/>
  <c r="B196" i="3" s="1"/>
  <c r="F46" i="3"/>
  <c r="F184" i="3" s="1"/>
  <c r="F200" i="3"/>
  <c r="B200" i="3" s="1"/>
  <c r="F195" i="3"/>
  <c r="G195" i="3" s="1"/>
  <c r="F198" i="3"/>
  <c r="B198" i="3" s="1"/>
  <c r="M114" i="13"/>
  <c r="E112" i="13"/>
  <c r="E111" i="13"/>
  <c r="E113" i="13"/>
  <c r="B201" i="3"/>
  <c r="G201" i="3"/>
  <c r="E201" i="3"/>
  <c r="D10" i="13" l="1"/>
  <c r="E10" i="13" s="1"/>
  <c r="D14" i="13"/>
  <c r="E14" i="13" s="1"/>
  <c r="D18" i="13"/>
  <c r="E18" i="13" s="1"/>
  <c r="D22" i="13"/>
  <c r="E22" i="13" s="1"/>
  <c r="D26" i="13"/>
  <c r="E26" i="13" s="1"/>
  <c r="D30" i="13"/>
  <c r="E30" i="13" s="1"/>
  <c r="D34" i="13"/>
  <c r="E34" i="13" s="1"/>
  <c r="D38" i="13"/>
  <c r="E38" i="13" s="1"/>
  <c r="D42" i="13"/>
  <c r="E42" i="13" s="1"/>
  <c r="D46" i="13"/>
  <c r="E46" i="13" s="1"/>
  <c r="D50" i="13"/>
  <c r="E50" i="13" s="1"/>
  <c r="D54" i="13"/>
  <c r="E54" i="13" s="1"/>
  <c r="D58" i="13"/>
  <c r="E58" i="13" s="1"/>
  <c r="D62" i="13"/>
  <c r="E62" i="13" s="1"/>
  <c r="D66" i="13"/>
  <c r="E66" i="13" s="1"/>
  <c r="D70" i="13"/>
  <c r="E70" i="13" s="1"/>
  <c r="D74" i="13"/>
  <c r="E74" i="13" s="1"/>
  <c r="D78" i="13"/>
  <c r="E78" i="13" s="1"/>
  <c r="D82" i="13"/>
  <c r="E82" i="13" s="1"/>
  <c r="D86" i="13"/>
  <c r="E86" i="13" s="1"/>
  <c r="D90" i="13"/>
  <c r="E90" i="13" s="1"/>
  <c r="D94" i="13"/>
  <c r="E94" i="13" s="1"/>
  <c r="D98" i="13"/>
  <c r="E98" i="13" s="1"/>
  <c r="D102" i="13"/>
  <c r="E102" i="13" s="1"/>
  <c r="D106" i="13"/>
  <c r="E106" i="13" s="1"/>
  <c r="D110" i="13"/>
  <c r="E110" i="13" s="1"/>
  <c r="D114" i="13"/>
  <c r="D11" i="13"/>
  <c r="E11" i="13" s="1"/>
  <c r="D15" i="13"/>
  <c r="E15" i="13" s="1"/>
  <c r="M15" i="13" s="1"/>
  <c r="D19" i="13"/>
  <c r="E19" i="13" s="1"/>
  <c r="D23" i="13"/>
  <c r="E23" i="13" s="1"/>
  <c r="M23" i="13" s="1"/>
  <c r="D27" i="13"/>
  <c r="E27" i="13" s="1"/>
  <c r="D31" i="13"/>
  <c r="E31" i="13" s="1"/>
  <c r="D35" i="13"/>
  <c r="E35" i="13" s="1"/>
  <c r="D39" i="13"/>
  <c r="E39" i="13" s="1"/>
  <c r="D43" i="13"/>
  <c r="E43" i="13" s="1"/>
  <c r="D47" i="13"/>
  <c r="E47" i="13" s="1"/>
  <c r="M47" i="13" s="1"/>
  <c r="D51" i="13"/>
  <c r="E51" i="13" s="1"/>
  <c r="D55" i="13"/>
  <c r="E55" i="13" s="1"/>
  <c r="D59" i="13"/>
  <c r="E59" i="13" s="1"/>
  <c r="D63" i="13"/>
  <c r="E63" i="13" s="1"/>
  <c r="D67" i="13"/>
  <c r="E67" i="13" s="1"/>
  <c r="D71" i="13"/>
  <c r="E71" i="13" s="1"/>
  <c r="D75" i="13"/>
  <c r="E75" i="13" s="1"/>
  <c r="D79" i="13"/>
  <c r="E79" i="13" s="1"/>
  <c r="D83" i="13"/>
  <c r="E83" i="13" s="1"/>
  <c r="D87" i="13"/>
  <c r="E87" i="13" s="1"/>
  <c r="D91" i="13"/>
  <c r="E91" i="13" s="1"/>
  <c r="D95" i="13"/>
  <c r="E95" i="13" s="1"/>
  <c r="D99" i="13"/>
  <c r="E99" i="13" s="1"/>
  <c r="D103" i="13"/>
  <c r="E103" i="13" s="1"/>
  <c r="D107" i="13"/>
  <c r="E107" i="13" s="1"/>
  <c r="D111" i="13"/>
  <c r="D12" i="13"/>
  <c r="E12" i="13" s="1"/>
  <c r="D16" i="13"/>
  <c r="E16" i="13" s="1"/>
  <c r="D20" i="13"/>
  <c r="E20" i="13" s="1"/>
  <c r="D24" i="13"/>
  <c r="E24" i="13" s="1"/>
  <c r="D28" i="13"/>
  <c r="E28" i="13" s="1"/>
  <c r="D32" i="13"/>
  <c r="E32" i="13" s="1"/>
  <c r="D36" i="13"/>
  <c r="E36" i="13" s="1"/>
  <c r="D40" i="13"/>
  <c r="E40" i="13" s="1"/>
  <c r="D44" i="13"/>
  <c r="E44" i="13" s="1"/>
  <c r="D48" i="13"/>
  <c r="E48" i="13" s="1"/>
  <c r="D52" i="13"/>
  <c r="E52" i="13" s="1"/>
  <c r="D56" i="13"/>
  <c r="E56" i="13" s="1"/>
  <c r="D60" i="13"/>
  <c r="E60" i="13" s="1"/>
  <c r="D64" i="13"/>
  <c r="E64" i="13" s="1"/>
  <c r="D68" i="13"/>
  <c r="E68" i="13" s="1"/>
  <c r="D72" i="13"/>
  <c r="E72" i="13" s="1"/>
  <c r="D76" i="13"/>
  <c r="E76" i="13" s="1"/>
  <c r="D80" i="13"/>
  <c r="E80" i="13" s="1"/>
  <c r="D84" i="13"/>
  <c r="E84" i="13" s="1"/>
  <c r="D88" i="13"/>
  <c r="E88" i="13" s="1"/>
  <c r="D92" i="13"/>
  <c r="E92" i="13" s="1"/>
  <c r="D96" i="13"/>
  <c r="E96" i="13" s="1"/>
  <c r="D100" i="13"/>
  <c r="E100" i="13" s="1"/>
  <c r="D104" i="13"/>
  <c r="E104" i="13" s="1"/>
  <c r="D108" i="13"/>
  <c r="E108" i="13" s="1"/>
  <c r="D112" i="13"/>
  <c r="D13" i="13"/>
  <c r="E13" i="13" s="1"/>
  <c r="D17" i="13"/>
  <c r="E17" i="13" s="1"/>
  <c r="D21" i="13"/>
  <c r="E21" i="13" s="1"/>
  <c r="D25" i="13"/>
  <c r="E25" i="13" s="1"/>
  <c r="D29" i="13"/>
  <c r="E29" i="13" s="1"/>
  <c r="D33" i="13"/>
  <c r="E33" i="13" s="1"/>
  <c r="D37" i="13"/>
  <c r="E37" i="13" s="1"/>
  <c r="M37" i="13" s="1"/>
  <c r="D53" i="13"/>
  <c r="E53" i="13" s="1"/>
  <c r="D69" i="13"/>
  <c r="E69" i="13" s="1"/>
  <c r="D85" i="13"/>
  <c r="E85" i="13" s="1"/>
  <c r="D101" i="13"/>
  <c r="E101" i="13" s="1"/>
  <c r="D41" i="13"/>
  <c r="E41" i="13" s="1"/>
  <c r="D57" i="13"/>
  <c r="E57" i="13" s="1"/>
  <c r="D73" i="13"/>
  <c r="E73" i="13" s="1"/>
  <c r="D89" i="13"/>
  <c r="E89" i="13" s="1"/>
  <c r="D105" i="13"/>
  <c r="E105" i="13" s="1"/>
  <c r="D61" i="13"/>
  <c r="E61" i="13" s="1"/>
  <c r="D77" i="13"/>
  <c r="E77" i="13" s="1"/>
  <c r="D93" i="13"/>
  <c r="E93" i="13" s="1"/>
  <c r="D109" i="13"/>
  <c r="E109" i="13" s="1"/>
  <c r="D65" i="13"/>
  <c r="E65" i="13" s="1"/>
  <c r="D81" i="13"/>
  <c r="E81" i="13" s="1"/>
  <c r="D97" i="13"/>
  <c r="E97" i="13" s="1"/>
  <c r="D45" i="13"/>
  <c r="E45" i="13" s="1"/>
  <c r="D49" i="13"/>
  <c r="E49" i="13" s="1"/>
  <c r="D113" i="13"/>
  <c r="F59" i="3"/>
  <c r="C40" i="7"/>
  <c r="C39" i="7"/>
  <c r="C41" i="7"/>
  <c r="X194" i="3"/>
  <c r="F80" i="3"/>
  <c r="F81" i="3" s="1"/>
  <c r="F92" i="1" s="1"/>
  <c r="B210" i="3"/>
  <c r="B199" i="3"/>
  <c r="E197" i="3"/>
  <c r="E209" i="3"/>
  <c r="G209" i="3"/>
  <c r="B208" i="3"/>
  <c r="B206" i="3"/>
  <c r="G194" i="3"/>
  <c r="B194" i="3"/>
  <c r="G208" i="3"/>
  <c r="B207" i="3"/>
  <c r="B197" i="3"/>
  <c r="G207" i="3"/>
  <c r="E204" i="3"/>
  <c r="G196" i="3"/>
  <c r="G198" i="3"/>
  <c r="G203" i="3"/>
  <c r="G204" i="3"/>
  <c r="G206" i="3"/>
  <c r="B203" i="3"/>
  <c r="E196" i="3"/>
  <c r="E198" i="3"/>
  <c r="E210" i="3"/>
  <c r="B205" i="3"/>
  <c r="B195" i="3"/>
  <c r="E202" i="3"/>
  <c r="G200" i="3"/>
  <c r="G199" i="3"/>
  <c r="G205" i="3"/>
  <c r="G202" i="3"/>
  <c r="E195" i="3"/>
  <c r="E200" i="3"/>
  <c r="M112" i="13"/>
  <c r="M113" i="13"/>
  <c r="M111" i="13"/>
  <c r="M51" i="13" l="1"/>
  <c r="M35" i="13"/>
  <c r="M79" i="13"/>
  <c r="M99" i="13"/>
  <c r="M34" i="13"/>
  <c r="M18" i="13"/>
  <c r="M105" i="13"/>
  <c r="M17" i="13"/>
  <c r="M53" i="13"/>
  <c r="M55" i="13"/>
  <c r="M61" i="13"/>
  <c r="M90" i="13"/>
  <c r="M16" i="13"/>
  <c r="M52" i="13"/>
  <c r="M106" i="13"/>
  <c r="M66" i="13"/>
  <c r="M33" i="13"/>
  <c r="M59" i="13"/>
  <c r="M69" i="13"/>
  <c r="M100" i="13"/>
  <c r="M56" i="13"/>
  <c r="M72" i="13"/>
  <c r="M45" i="13"/>
  <c r="M71" i="13"/>
  <c r="M26" i="13"/>
  <c r="M68" i="13"/>
  <c r="M31" i="13"/>
  <c r="M74" i="13"/>
  <c r="M46" i="13"/>
  <c r="M11" i="13"/>
  <c r="M38" i="13"/>
  <c r="M36" i="13"/>
  <c r="M73" i="13"/>
  <c r="M20" i="13"/>
  <c r="M93" i="13"/>
  <c r="M27" i="13"/>
  <c r="M78" i="13"/>
  <c r="M41" i="13"/>
  <c r="M13" i="13"/>
  <c r="M96" i="13"/>
  <c r="M77" i="13"/>
  <c r="M60" i="13"/>
  <c r="M30" i="13"/>
  <c r="M95" i="13"/>
  <c r="M67" i="13"/>
  <c r="M50" i="13"/>
  <c r="M65" i="13"/>
  <c r="M25" i="13"/>
  <c r="M94" i="13"/>
  <c r="M21" i="13"/>
  <c r="M63" i="13"/>
  <c r="M80" i="13"/>
  <c r="M40" i="13"/>
  <c r="M91" i="13"/>
  <c r="M19" i="13"/>
  <c r="M89" i="13"/>
  <c r="M58" i="13"/>
  <c r="M76" i="13"/>
  <c r="M57" i="13"/>
  <c r="M49" i="13"/>
  <c r="M44" i="13"/>
  <c r="M22" i="13"/>
  <c r="M85" i="13"/>
  <c r="M108" i="13"/>
  <c r="M107" i="13"/>
  <c r="M88" i="13"/>
  <c r="M104" i="13"/>
  <c r="M42" i="13"/>
  <c r="M64" i="13"/>
  <c r="M84" i="13"/>
  <c r="M92" i="13"/>
  <c r="M102" i="13"/>
  <c r="M98" i="13"/>
  <c r="M12" i="13"/>
  <c r="M48" i="13"/>
  <c r="M70" i="13"/>
  <c r="M32" i="13"/>
  <c r="M62" i="13"/>
  <c r="M103" i="13"/>
  <c r="M28" i="13"/>
  <c r="M39" i="13"/>
  <c r="M24" i="13"/>
  <c r="M86" i="13"/>
  <c r="M110" i="13"/>
  <c r="M101" i="13"/>
  <c r="M10" i="13"/>
  <c r="M97" i="13"/>
  <c r="M75" i="13"/>
  <c r="M82" i="13"/>
  <c r="M81" i="13"/>
  <c r="M43" i="13"/>
  <c r="M87" i="13"/>
  <c r="M83" i="13"/>
  <c r="M54" i="13"/>
  <c r="M109" i="13"/>
  <c r="M29" i="13"/>
  <c r="M14" i="13"/>
  <c r="F36" i="3"/>
  <c r="F35" i="3"/>
  <c r="F34" i="3"/>
  <c r="F33" i="3"/>
  <c r="N4" i="13" l="1"/>
  <c r="G71" i="1" l="1"/>
  <c r="F153" i="3" l="1"/>
  <c r="F152" i="3"/>
  <c r="O217" i="3"/>
  <c r="H35" i="3" l="1"/>
  <c r="H33" i="3"/>
  <c r="H36" i="3"/>
  <c r="H34" i="3"/>
  <c r="F154" i="3"/>
  <c r="O216" i="3"/>
  <c r="O213" i="3"/>
  <c r="O215" i="3"/>
  <c r="O214" i="3"/>
  <c r="F178" i="3"/>
  <c r="U213" i="3" s="1"/>
  <c r="F177" i="3"/>
  <c r="F176" i="3"/>
  <c r="G144" i="3"/>
  <c r="F144" i="3"/>
  <c r="G143" i="3"/>
  <c r="F143" i="3"/>
  <c r="G142" i="3"/>
  <c r="F142" i="3"/>
  <c r="G141" i="3"/>
  <c r="F141" i="3"/>
  <c r="G140" i="3"/>
  <c r="F140" i="3"/>
  <c r="G139" i="3"/>
  <c r="F139" i="3"/>
  <c r="G138" i="3"/>
  <c r="F138" i="3"/>
  <c r="G137" i="3"/>
  <c r="F137" i="3"/>
  <c r="G136" i="3"/>
  <c r="G135" i="3"/>
  <c r="F135" i="3"/>
  <c r="G134" i="3"/>
  <c r="F134" i="3"/>
  <c r="G133" i="3"/>
  <c r="F133" i="3"/>
  <c r="G131" i="3"/>
  <c r="G132" i="3" s="1"/>
  <c r="F103" i="1" s="1"/>
  <c r="G129" i="3"/>
  <c r="F129" i="3"/>
  <c r="K132" i="1"/>
  <c r="F182" i="3"/>
  <c r="F132" i="1"/>
  <c r="F135" i="1"/>
  <c r="F131" i="1"/>
  <c r="F130" i="1"/>
  <c r="F129" i="1"/>
  <c r="F94" i="1"/>
  <c r="K134" i="1" s="1"/>
  <c r="D112" i="1" l="1"/>
  <c r="G130" i="3"/>
  <c r="F100" i="1"/>
  <c r="F131" i="3"/>
  <c r="F102" i="1" s="1"/>
  <c r="E113" i="1"/>
  <c r="K138" i="1" s="1"/>
  <c r="E112" i="1"/>
  <c r="K137" i="1" s="1"/>
  <c r="E110" i="1"/>
  <c r="K135" i="1" s="1"/>
  <c r="E111" i="1"/>
  <c r="K136" i="1" s="1"/>
  <c r="D113" i="1"/>
  <c r="F113" i="1"/>
  <c r="F181" i="3"/>
  <c r="T211" i="3"/>
  <c r="T212" i="3"/>
  <c r="T213" i="3"/>
  <c r="S211" i="3"/>
  <c r="U211" i="3"/>
  <c r="S212" i="3"/>
  <c r="U212" i="3"/>
  <c r="S213" i="3"/>
  <c r="D110" i="1"/>
  <c r="D111" i="1"/>
  <c r="F110" i="1"/>
  <c r="F111" i="1"/>
  <c r="F112" i="1"/>
  <c r="F130" i="3" l="1"/>
  <c r="F101" i="1" s="1"/>
  <c r="K194" i="3"/>
  <c r="T194" i="3" s="1"/>
  <c r="K196" i="3"/>
  <c r="T196" i="3" s="1"/>
  <c r="K198" i="3"/>
  <c r="T198" i="3" s="1"/>
  <c r="K200" i="3"/>
  <c r="T200" i="3" s="1"/>
  <c r="K202" i="3"/>
  <c r="T202" i="3" s="1"/>
  <c r="K204" i="3"/>
  <c r="T204" i="3" s="1"/>
  <c r="K206" i="3"/>
  <c r="T206" i="3" s="1"/>
  <c r="K208" i="3"/>
  <c r="T208" i="3" s="1"/>
  <c r="K210" i="3"/>
  <c r="T210" i="3" s="1"/>
  <c r="K195" i="3"/>
  <c r="T195" i="3" s="1"/>
  <c r="K197" i="3"/>
  <c r="T197" i="3" s="1"/>
  <c r="K199" i="3"/>
  <c r="T199" i="3" s="1"/>
  <c r="K201" i="3"/>
  <c r="T201" i="3" s="1"/>
  <c r="K203" i="3"/>
  <c r="T203" i="3" s="1"/>
  <c r="K205" i="3"/>
  <c r="T205" i="3" s="1"/>
  <c r="K207" i="3"/>
  <c r="T207" i="3" s="1"/>
  <c r="K209" i="3"/>
  <c r="T209" i="3" s="1"/>
  <c r="L200" i="3" l="1"/>
  <c r="U200" i="3" s="1"/>
  <c r="L204" i="3"/>
  <c r="U204" i="3" s="1"/>
  <c r="L208" i="3"/>
  <c r="U208" i="3" s="1"/>
  <c r="L201" i="3"/>
  <c r="U201" i="3" s="1"/>
  <c r="L205" i="3"/>
  <c r="U205" i="3" s="1"/>
  <c r="L209" i="3"/>
  <c r="U209" i="3" s="1"/>
  <c r="L198" i="3"/>
  <c r="U198" i="3" s="1"/>
  <c r="L202" i="3"/>
  <c r="U202" i="3" s="1"/>
  <c r="L206" i="3"/>
  <c r="U206" i="3" s="1"/>
  <c r="L195" i="3"/>
  <c r="U195" i="3" s="1"/>
  <c r="L199" i="3"/>
  <c r="U199" i="3" s="1"/>
  <c r="J194" i="3"/>
  <c r="S194" i="3" s="1"/>
  <c r="J202" i="3"/>
  <c r="S202" i="3" s="1"/>
  <c r="J210" i="3"/>
  <c r="S210" i="3" s="1"/>
  <c r="J199" i="3"/>
  <c r="S199" i="3" s="1"/>
  <c r="J207" i="3"/>
  <c r="S207" i="3" s="1"/>
  <c r="J196" i="3"/>
  <c r="S196" i="3" s="1"/>
  <c r="J200" i="3"/>
  <c r="S200" i="3" s="1"/>
  <c r="J208" i="3"/>
  <c r="S208" i="3" s="1"/>
  <c r="J201" i="3"/>
  <c r="S201" i="3" s="1"/>
  <c r="J209" i="3"/>
  <c r="S209" i="3" s="1"/>
  <c r="J198" i="3"/>
  <c r="S198" i="3" s="1"/>
  <c r="L194" i="3"/>
  <c r="U194" i="3" s="1"/>
  <c r="L210" i="3"/>
  <c r="U210" i="3" s="1"/>
  <c r="J197" i="3"/>
  <c r="S197" i="3" s="1"/>
  <c r="L203" i="3"/>
  <c r="U203" i="3" s="1"/>
  <c r="L207" i="3"/>
  <c r="U207" i="3" s="1"/>
  <c r="L196" i="3"/>
  <c r="U196" i="3" s="1"/>
  <c r="L197" i="3"/>
  <c r="U197" i="3" s="1"/>
  <c r="J195" i="3"/>
  <c r="S195" i="3" s="1"/>
  <c r="J205" i="3"/>
  <c r="S205" i="3" s="1"/>
  <c r="J204" i="3"/>
  <c r="S204" i="3" s="1"/>
  <c r="J203" i="3"/>
  <c r="S203" i="3" s="1"/>
  <c r="J206" i="3"/>
  <c r="S206" i="3" s="1"/>
  <c r="F79" i="1" l="1"/>
  <c r="V210" i="3" l="1"/>
  <c r="V212" i="3"/>
  <c r="V206" i="3"/>
  <c r="V213" i="3"/>
  <c r="V199" i="3"/>
  <c r="V211" i="3"/>
  <c r="V204" i="3"/>
  <c r="V198" i="3"/>
  <c r="V205" i="3"/>
  <c r="V201" i="3"/>
  <c r="V195" i="3"/>
  <c r="V207" i="3"/>
  <c r="V209" i="3"/>
  <c r="V197" i="3"/>
  <c r="V200" i="3"/>
  <c r="V196" i="3"/>
  <c r="V208" i="3"/>
  <c r="V202" i="3"/>
  <c r="V194" i="3"/>
  <c r="V203" i="3"/>
  <c r="P67" i="13" l="1"/>
  <c r="Q81" i="13"/>
  <c r="P86" i="13"/>
  <c r="P46" i="13"/>
  <c r="Q16" i="13"/>
  <c r="P37" i="13"/>
  <c r="Q40" i="13"/>
  <c r="P12" i="13"/>
  <c r="P65" i="13"/>
  <c r="Q69" i="13"/>
  <c r="Q92" i="13"/>
  <c r="P32" i="13"/>
  <c r="P55" i="13"/>
  <c r="P82" i="13"/>
  <c r="Q37" i="13"/>
  <c r="Q13" i="13"/>
  <c r="P38" i="13"/>
  <c r="P41" i="13"/>
  <c r="P100" i="13"/>
  <c r="Q103" i="13"/>
  <c r="P77" i="13"/>
  <c r="Q53" i="13"/>
  <c r="Q26" i="13"/>
  <c r="Q60" i="13"/>
  <c r="Q111" i="13"/>
  <c r="P85" i="13"/>
  <c r="Q85" i="13"/>
  <c r="P27" i="13"/>
  <c r="Q68" i="13"/>
  <c r="Q93" i="13"/>
  <c r="P48" i="13"/>
  <c r="P113" i="13"/>
  <c r="Q28" i="13"/>
  <c r="P112" i="13"/>
  <c r="P71" i="13"/>
  <c r="P11" i="13"/>
  <c r="P91" i="13"/>
  <c r="Q55" i="13"/>
  <c r="P57" i="13"/>
  <c r="Q107" i="13"/>
  <c r="P107" i="13"/>
  <c r="Q50" i="13"/>
  <c r="Q42" i="13"/>
  <c r="Q70" i="13"/>
  <c r="Q31" i="13"/>
  <c r="P79" i="13"/>
  <c r="Q99" i="13"/>
  <c r="P87" i="13"/>
  <c r="P110" i="13"/>
  <c r="Q32" i="13"/>
  <c r="P20" i="13"/>
  <c r="P72" i="13"/>
  <c r="P81" i="13"/>
  <c r="Q17" i="13"/>
  <c r="Q66" i="13"/>
  <c r="P54" i="13"/>
  <c r="P31" i="13"/>
  <c r="P44" i="13"/>
  <c r="Q20" i="13"/>
  <c r="P25" i="13"/>
  <c r="P64" i="13"/>
  <c r="Q97" i="13"/>
  <c r="Q96" i="13"/>
  <c r="Q36" i="13"/>
  <c r="Q88" i="13"/>
  <c r="Q86" i="13"/>
  <c r="Q84" i="13"/>
  <c r="P90" i="13"/>
  <c r="P61" i="13"/>
  <c r="P24" i="13"/>
  <c r="Q113" i="13"/>
  <c r="Q80" i="13"/>
  <c r="Q72" i="13"/>
  <c r="Q63" i="13"/>
  <c r="P13" i="13"/>
  <c r="Q35" i="13"/>
  <c r="P99" i="13"/>
  <c r="P33" i="13"/>
  <c r="Q45" i="13"/>
  <c r="Q14" i="13"/>
  <c r="P42" i="13"/>
  <c r="P40" i="13"/>
  <c r="Q82" i="13"/>
  <c r="P98" i="13"/>
  <c r="P95" i="13"/>
  <c r="Q38" i="13"/>
  <c r="P80" i="13"/>
  <c r="P111" i="13"/>
  <c r="P43" i="13"/>
  <c r="P63" i="13"/>
  <c r="P47" i="13"/>
  <c r="Q24" i="13"/>
  <c r="Q29" i="13"/>
  <c r="Q73" i="13"/>
  <c r="P76" i="13"/>
  <c r="P34" i="13"/>
  <c r="Q34" i="13"/>
  <c r="P66" i="13"/>
  <c r="P58" i="13"/>
  <c r="Q74" i="13"/>
  <c r="P93" i="13"/>
  <c r="Q71" i="13"/>
  <c r="Q109" i="13"/>
  <c r="P56" i="13"/>
  <c r="Q105" i="13"/>
  <c r="Q104" i="13"/>
  <c r="P60" i="13"/>
  <c r="Q18" i="13"/>
  <c r="P84" i="13"/>
  <c r="Q41" i="13"/>
  <c r="P62" i="13"/>
  <c r="Q52" i="13"/>
  <c r="P104" i="13"/>
  <c r="P94" i="13"/>
  <c r="P30" i="13"/>
  <c r="Q95" i="13"/>
  <c r="P16" i="13"/>
  <c r="Q98" i="13"/>
  <c r="P22" i="13"/>
  <c r="Q94" i="13"/>
  <c r="P50" i="13"/>
  <c r="Q61" i="13"/>
  <c r="Q90" i="13"/>
  <c r="Q100" i="13"/>
  <c r="Q47" i="13"/>
  <c r="P51" i="13"/>
  <c r="Q76" i="13"/>
  <c r="Q25" i="13"/>
  <c r="Q12" i="13"/>
  <c r="Q65" i="13"/>
  <c r="P68" i="13"/>
  <c r="Q108" i="13"/>
  <c r="Q78" i="13"/>
  <c r="Q59" i="13"/>
  <c r="P17" i="13"/>
  <c r="P29" i="13"/>
  <c r="P74" i="13"/>
  <c r="Q75" i="13"/>
  <c r="Q46" i="13"/>
  <c r="Q101" i="13"/>
  <c r="P103" i="13"/>
  <c r="Q77" i="13"/>
  <c r="Q19" i="13"/>
  <c r="Q21" i="13"/>
  <c r="P92" i="13"/>
  <c r="P69" i="13"/>
  <c r="Q11" i="13"/>
  <c r="P70" i="13"/>
  <c r="Q23" i="13"/>
  <c r="P114" i="13"/>
  <c r="P83" i="13"/>
  <c r="Q79" i="13"/>
  <c r="P96" i="13"/>
  <c r="Q110" i="13"/>
  <c r="Q30" i="13"/>
  <c r="Q106" i="13"/>
  <c r="Q33" i="13"/>
  <c r="P59" i="13"/>
  <c r="Q87" i="13"/>
  <c r="Q89" i="13"/>
  <c r="Q67" i="13"/>
  <c r="Q57" i="13"/>
  <c r="Q51" i="13"/>
  <c r="Q54" i="13"/>
  <c r="P23" i="13"/>
  <c r="P14" i="13"/>
  <c r="Q15" i="13"/>
  <c r="Q114" i="13"/>
  <c r="Q102" i="13"/>
  <c r="P36" i="13"/>
  <c r="P88" i="13"/>
  <c r="P39" i="13"/>
  <c r="P89" i="13"/>
  <c r="Q83" i="13"/>
  <c r="P52" i="13"/>
  <c r="Q112" i="13"/>
  <c r="P28" i="13"/>
  <c r="P106" i="13"/>
  <c r="Q64" i="13"/>
  <c r="P105" i="13"/>
  <c r="Q48" i="13"/>
  <c r="P102" i="13"/>
  <c r="Q91" i="13"/>
  <c r="Q44" i="13"/>
  <c r="P19" i="13"/>
  <c r="P18" i="13"/>
  <c r="Q43" i="13"/>
  <c r="P49" i="13"/>
  <c r="P15" i="13"/>
  <c r="P75" i="13"/>
  <c r="Q27" i="13"/>
  <c r="P101" i="13"/>
  <c r="P35" i="13"/>
  <c r="Q62" i="13"/>
  <c r="P73" i="13"/>
  <c r="Q58" i="13"/>
  <c r="Q39" i="13"/>
  <c r="P78" i="13"/>
  <c r="P45" i="13"/>
  <c r="Q56" i="13"/>
  <c r="Q49" i="13"/>
  <c r="P108" i="13"/>
  <c r="P97" i="13"/>
  <c r="P26" i="13"/>
  <c r="Q22" i="13"/>
  <c r="P21" i="13"/>
  <c r="P109" i="13"/>
  <c r="P53" i="13"/>
  <c r="P10" i="13"/>
  <c r="F37" i="13"/>
  <c r="G37" i="13" s="1"/>
  <c r="F44" i="13"/>
  <c r="G44" i="13" s="1"/>
  <c r="H44" i="13" s="1"/>
  <c r="I44" i="13" s="1"/>
  <c r="F86" i="13"/>
  <c r="G86" i="13" s="1"/>
  <c r="O86" i="13" s="1"/>
  <c r="F51" i="13"/>
  <c r="G51" i="13" s="1"/>
  <c r="O51" i="13" s="1"/>
  <c r="F113" i="13"/>
  <c r="G113" i="13" s="1"/>
  <c r="O113" i="13" s="1"/>
  <c r="F112" i="13"/>
  <c r="G112" i="13" s="1"/>
  <c r="H112" i="13" s="1"/>
  <c r="I112" i="13" s="1"/>
  <c r="F78" i="13"/>
  <c r="G78" i="13" s="1"/>
  <c r="H78" i="13" s="1"/>
  <c r="I78" i="13" s="1"/>
  <c r="F93" i="13"/>
  <c r="G93" i="13" s="1"/>
  <c r="H93" i="13" s="1"/>
  <c r="I93" i="13" s="1"/>
  <c r="F30" i="13"/>
  <c r="G30" i="13" s="1"/>
  <c r="H30" i="13" s="1"/>
  <c r="I30" i="13" s="1"/>
  <c r="F81" i="13"/>
  <c r="G81" i="13" s="1"/>
  <c r="H81" i="13" s="1"/>
  <c r="I81" i="13" s="1"/>
  <c r="F91" i="13"/>
  <c r="G91" i="13" s="1"/>
  <c r="O91" i="13" s="1"/>
  <c r="F31" i="13"/>
  <c r="G31" i="13" s="1"/>
  <c r="O31" i="13" s="1"/>
  <c r="F12" i="13"/>
  <c r="G12" i="13" s="1"/>
  <c r="O12" i="13" s="1"/>
  <c r="F68" i="13"/>
  <c r="G68" i="13" s="1"/>
  <c r="O68" i="13" s="1"/>
  <c r="F26" i="13"/>
  <c r="G26" i="13" s="1"/>
  <c r="H26" i="13" s="1"/>
  <c r="I26" i="13" s="1"/>
  <c r="F25" i="13"/>
  <c r="G25" i="13" s="1"/>
  <c r="F24" i="13"/>
  <c r="G24" i="13" s="1"/>
  <c r="F40" i="13"/>
  <c r="G40" i="13" s="1"/>
  <c r="O40" i="13" s="1"/>
  <c r="F36" i="13"/>
  <c r="G36" i="13" s="1"/>
  <c r="F67" i="13"/>
  <c r="G67" i="13" s="1"/>
  <c r="F62" i="13"/>
  <c r="G62" i="13" s="1"/>
  <c r="O62" i="13" s="1"/>
  <c r="F73" i="13"/>
  <c r="G73" i="13" s="1"/>
  <c r="O73" i="13" s="1"/>
  <c r="F22" i="13"/>
  <c r="G22" i="13" s="1"/>
  <c r="O22" i="13" s="1"/>
  <c r="F60" i="13"/>
  <c r="G60" i="13" s="1"/>
  <c r="H60" i="13" s="1"/>
  <c r="I60" i="13" s="1"/>
  <c r="F46" i="13"/>
  <c r="G46" i="13" s="1"/>
  <c r="H46" i="13" s="1"/>
  <c r="I46" i="13" s="1"/>
  <c r="F101" i="13"/>
  <c r="G101" i="13" s="1"/>
  <c r="F43" i="13"/>
  <c r="G43" i="13" s="1"/>
  <c r="F82" i="13"/>
  <c r="G82" i="13" s="1"/>
  <c r="F111" i="13"/>
  <c r="G111" i="13" s="1"/>
  <c r="F69" i="13"/>
  <c r="G69" i="13" s="1"/>
  <c r="F95" i="13"/>
  <c r="G95" i="13" s="1"/>
  <c r="F21" i="13"/>
  <c r="G21" i="13" s="1"/>
  <c r="F66" i="13"/>
  <c r="G66" i="13" s="1"/>
  <c r="F49" i="13"/>
  <c r="G49" i="13" s="1"/>
  <c r="O49" i="13" s="1"/>
  <c r="F90" i="13"/>
  <c r="G90" i="13" s="1"/>
  <c r="F77" i="13"/>
  <c r="G77" i="13" s="1"/>
  <c r="F100" i="13"/>
  <c r="G100" i="13" s="1"/>
  <c r="F38" i="13"/>
  <c r="G38" i="13" s="1"/>
  <c r="H38" i="13" s="1"/>
  <c r="I38" i="13" s="1"/>
  <c r="F64" i="13"/>
  <c r="G64" i="13" s="1"/>
  <c r="F56" i="13"/>
  <c r="G56" i="13" s="1"/>
  <c r="H56" i="13" s="1"/>
  <c r="I56" i="13" s="1"/>
  <c r="F87" i="13"/>
  <c r="G87" i="13" s="1"/>
  <c r="O87" i="13" s="1"/>
  <c r="Q10" i="13"/>
  <c r="F110" i="13"/>
  <c r="G110" i="13" s="1"/>
  <c r="F28" i="13"/>
  <c r="G28" i="13" s="1"/>
  <c r="F92" i="13"/>
  <c r="G92" i="13" s="1"/>
  <c r="F105" i="13"/>
  <c r="G105" i="13" s="1"/>
  <c r="O105" i="13" s="1"/>
  <c r="F103" i="13"/>
  <c r="G103" i="13" s="1"/>
  <c r="O103" i="13" s="1"/>
  <c r="F71" i="13"/>
  <c r="G71" i="13" s="1"/>
  <c r="F57" i="13"/>
  <c r="G57" i="13" s="1"/>
  <c r="F50" i="13"/>
  <c r="G50" i="13" s="1"/>
  <c r="F98" i="13"/>
  <c r="G98" i="13" s="1"/>
  <c r="H98" i="13" s="1"/>
  <c r="I98" i="13" s="1"/>
  <c r="F70" i="13"/>
  <c r="G70" i="13" s="1"/>
  <c r="O70" i="13" s="1"/>
  <c r="F114" i="13"/>
  <c r="G114" i="13" s="1"/>
  <c r="F47" i="13"/>
  <c r="G47" i="13" s="1"/>
  <c r="H47" i="13" s="1"/>
  <c r="I47" i="13" s="1"/>
  <c r="F15" i="13"/>
  <c r="G15" i="13" s="1"/>
  <c r="O15" i="13" s="1"/>
  <c r="F23" i="13"/>
  <c r="G23" i="13" s="1"/>
  <c r="H23" i="13" s="1"/>
  <c r="I23" i="13" s="1"/>
  <c r="F108" i="13"/>
  <c r="G108" i="13" s="1"/>
  <c r="F94" i="13"/>
  <c r="G94" i="13" s="1"/>
  <c r="F107" i="13"/>
  <c r="G107" i="13" s="1"/>
  <c r="F32" i="13"/>
  <c r="G32" i="13" s="1"/>
  <c r="F104" i="13"/>
  <c r="G104" i="13" s="1"/>
  <c r="F29" i="13"/>
  <c r="G29" i="13" s="1"/>
  <c r="O29" i="13" s="1"/>
  <c r="F54" i="13"/>
  <c r="G54" i="13" s="1"/>
  <c r="H54" i="13" s="1"/>
  <c r="I54" i="13" s="1"/>
  <c r="F109" i="13"/>
  <c r="G109" i="13" s="1"/>
  <c r="F13" i="13"/>
  <c r="G13" i="13" s="1"/>
  <c r="F35" i="13"/>
  <c r="G35" i="13" s="1"/>
  <c r="H35" i="13" s="1"/>
  <c r="I35" i="13" s="1"/>
  <c r="F14" i="13"/>
  <c r="G14" i="13" s="1"/>
  <c r="O14" i="13" s="1"/>
  <c r="F65" i="13"/>
  <c r="G65" i="13" s="1"/>
  <c r="F55" i="13"/>
  <c r="G55" i="13" s="1"/>
  <c r="O55" i="13" s="1"/>
  <c r="F106" i="13"/>
  <c r="G106" i="13" s="1"/>
  <c r="O106" i="13" s="1"/>
  <c r="F19" i="13"/>
  <c r="G19" i="13" s="1"/>
  <c r="F58" i="13"/>
  <c r="G58" i="13" s="1"/>
  <c r="O58" i="13" s="1"/>
  <c r="F83" i="13"/>
  <c r="G83" i="13" s="1"/>
  <c r="O83" i="13" s="1"/>
  <c r="F63" i="13"/>
  <c r="G63" i="13" s="1"/>
  <c r="O63" i="13" s="1"/>
  <c r="F45" i="13"/>
  <c r="G45" i="13" s="1"/>
  <c r="F76" i="13"/>
  <c r="G76" i="13" s="1"/>
  <c r="H76" i="13" s="1"/>
  <c r="I76" i="13" s="1"/>
  <c r="F97" i="13"/>
  <c r="G97" i="13" s="1"/>
  <c r="F18" i="13"/>
  <c r="G18" i="13" s="1"/>
  <c r="O18" i="13" s="1"/>
  <c r="F74" i="13"/>
  <c r="G74" i="13" s="1"/>
  <c r="H74" i="13" s="1"/>
  <c r="I74" i="13" s="1"/>
  <c r="F80" i="13"/>
  <c r="G80" i="13" s="1"/>
  <c r="F41" i="13"/>
  <c r="G41" i="13" s="1"/>
  <c r="O41" i="13" s="1"/>
  <c r="F27" i="13"/>
  <c r="G27" i="13" s="1"/>
  <c r="F61" i="13"/>
  <c r="G61" i="13" s="1"/>
  <c r="F42" i="13"/>
  <c r="G42" i="13" s="1"/>
  <c r="O42" i="13" s="1"/>
  <c r="F53" i="13"/>
  <c r="G53" i="13" s="1"/>
  <c r="H53" i="13" s="1"/>
  <c r="I53" i="13" s="1"/>
  <c r="F102" i="13"/>
  <c r="G102" i="13" s="1"/>
  <c r="F48" i="13"/>
  <c r="G48" i="13" s="1"/>
  <c r="O48" i="13" s="1"/>
  <c r="F88" i="13"/>
  <c r="G88" i="13" s="1"/>
  <c r="H88" i="13" s="1"/>
  <c r="I88" i="13" s="1"/>
  <c r="F33" i="13"/>
  <c r="G33" i="13" s="1"/>
  <c r="F20" i="13"/>
  <c r="G20" i="13" s="1"/>
  <c r="F89" i="13"/>
  <c r="G89" i="13" s="1"/>
  <c r="F96" i="13"/>
  <c r="G96" i="13" s="1"/>
  <c r="O96" i="13" s="1"/>
  <c r="F85" i="13"/>
  <c r="G85" i="13" s="1"/>
  <c r="F39" i="13"/>
  <c r="G39" i="13" s="1"/>
  <c r="F99" i="13"/>
  <c r="G99" i="13" s="1"/>
  <c r="F11" i="13"/>
  <c r="G11" i="13" s="1"/>
  <c r="O11" i="13" s="1"/>
  <c r="F34" i="13"/>
  <c r="G34" i="13" s="1"/>
  <c r="H34" i="13" s="1"/>
  <c r="I34" i="13" s="1"/>
  <c r="F59" i="13"/>
  <c r="G59" i="13" s="1"/>
  <c r="F72" i="13"/>
  <c r="G72" i="13" s="1"/>
  <c r="F16" i="13"/>
  <c r="G16" i="13" s="1"/>
  <c r="O16" i="13" s="1"/>
  <c r="F79" i="13"/>
  <c r="G79" i="13" s="1"/>
  <c r="F52" i="13"/>
  <c r="G52" i="13" s="1"/>
  <c r="F75" i="13"/>
  <c r="G75" i="13" s="1"/>
  <c r="F17" i="13"/>
  <c r="G17" i="13" s="1"/>
  <c r="F84" i="13"/>
  <c r="G84" i="13" s="1"/>
  <c r="F10" i="13"/>
  <c r="G10" i="13" s="1"/>
  <c r="O10" i="13" s="1"/>
  <c r="N54" i="13" l="1"/>
  <c r="L38" i="13"/>
  <c r="L44" i="13"/>
  <c r="L74" i="13"/>
  <c r="N47" i="13"/>
  <c r="H42" i="13"/>
  <c r="I42" i="13" s="1"/>
  <c r="O114" i="13"/>
  <c r="H114" i="13"/>
  <c r="H11" i="13"/>
  <c r="I11" i="13" s="1"/>
  <c r="L34" i="13"/>
  <c r="H10" i="13"/>
  <c r="H62" i="13"/>
  <c r="I62" i="13" s="1"/>
  <c r="O38" i="13"/>
  <c r="H63" i="13"/>
  <c r="I63" i="13" s="1"/>
  <c r="H55" i="13"/>
  <c r="I55" i="13" s="1"/>
  <c r="H49" i="13"/>
  <c r="I49" i="13" s="1"/>
  <c r="H68" i="13"/>
  <c r="I68" i="13" s="1"/>
  <c r="H89" i="13"/>
  <c r="I89" i="13" s="1"/>
  <c r="O89" i="13"/>
  <c r="N93" i="13"/>
  <c r="L93" i="13"/>
  <c r="O17" i="13"/>
  <c r="H17" i="13"/>
  <c r="I17" i="13" s="1"/>
  <c r="O39" i="13"/>
  <c r="H39" i="13"/>
  <c r="I39" i="13" s="1"/>
  <c r="O20" i="13"/>
  <c r="H20" i="13"/>
  <c r="I20" i="13" s="1"/>
  <c r="H108" i="13"/>
  <c r="I108" i="13" s="1"/>
  <c r="O108" i="13"/>
  <c r="L81" i="13"/>
  <c r="O37" i="13"/>
  <c r="H37" i="13"/>
  <c r="I37" i="13" s="1"/>
  <c r="H85" i="13"/>
  <c r="I85" i="13" s="1"/>
  <c r="O85" i="13"/>
  <c r="O33" i="13"/>
  <c r="H33" i="13"/>
  <c r="O13" i="13"/>
  <c r="H13" i="13"/>
  <c r="I13" i="13" s="1"/>
  <c r="O90" i="13"/>
  <c r="H90" i="13"/>
  <c r="I90" i="13" s="1"/>
  <c r="O21" i="13"/>
  <c r="H21" i="13"/>
  <c r="I21" i="13" s="1"/>
  <c r="O27" i="13"/>
  <c r="H27" i="13"/>
  <c r="I27" i="13" s="1"/>
  <c r="O109" i="13"/>
  <c r="H109" i="13"/>
  <c r="I109" i="13" s="1"/>
  <c r="H106" i="13"/>
  <c r="I106" i="13" s="1"/>
  <c r="O81" i="13"/>
  <c r="L46" i="13"/>
  <c r="O74" i="13"/>
  <c r="H40" i="13"/>
  <c r="I40" i="13" s="1"/>
  <c r="H31" i="13"/>
  <c r="I31" i="13" s="1"/>
  <c r="H113" i="13"/>
  <c r="H91" i="13"/>
  <c r="I91" i="13" s="1"/>
  <c r="H16" i="13"/>
  <c r="I16" i="13" s="1"/>
  <c r="O34" i="13"/>
  <c r="H96" i="13"/>
  <c r="I96" i="13" s="1"/>
  <c r="H83" i="13"/>
  <c r="I83" i="13" s="1"/>
  <c r="H29" i="13"/>
  <c r="I29" i="13" s="1"/>
  <c r="H18" i="13"/>
  <c r="I18" i="13" s="1"/>
  <c r="O46" i="13"/>
  <c r="H22" i="13"/>
  <c r="I22" i="13" s="1"/>
  <c r="H12" i="13"/>
  <c r="I12" i="13" s="1"/>
  <c r="O44" i="13"/>
  <c r="O80" i="13"/>
  <c r="H80" i="13"/>
  <c r="L76" i="13"/>
  <c r="H100" i="13"/>
  <c r="I100" i="13" s="1"/>
  <c r="O100" i="13"/>
  <c r="O84" i="13"/>
  <c r="H84" i="13"/>
  <c r="I84" i="13" s="1"/>
  <c r="H45" i="13"/>
  <c r="O45" i="13"/>
  <c r="O19" i="13"/>
  <c r="H19" i="13"/>
  <c r="I19" i="13" s="1"/>
  <c r="O65" i="13"/>
  <c r="H65" i="13"/>
  <c r="I65" i="13" s="1"/>
  <c r="O64" i="13"/>
  <c r="H64" i="13"/>
  <c r="I64" i="13" s="1"/>
  <c r="O102" i="13"/>
  <c r="H102" i="13"/>
  <c r="I102" i="13" s="1"/>
  <c r="L98" i="13"/>
  <c r="L23" i="13"/>
  <c r="O66" i="13"/>
  <c r="H66" i="13"/>
  <c r="I66" i="13" s="1"/>
  <c r="O104" i="13"/>
  <c r="H104" i="13"/>
  <c r="I104" i="13" s="1"/>
  <c r="L53" i="13"/>
  <c r="H107" i="13"/>
  <c r="I107" i="13" s="1"/>
  <c r="O107" i="13"/>
  <c r="O76" i="13"/>
  <c r="L56" i="13"/>
  <c r="O82" i="13"/>
  <c r="H82" i="13"/>
  <c r="I82" i="13" s="1"/>
  <c r="O25" i="13"/>
  <c r="H25" i="13"/>
  <c r="I25" i="13" s="1"/>
  <c r="H87" i="13"/>
  <c r="L112" i="13"/>
  <c r="N112" i="13"/>
  <c r="O112" i="13"/>
  <c r="O79" i="13"/>
  <c r="H79" i="13"/>
  <c r="I79" i="13" s="1"/>
  <c r="H32" i="13"/>
  <c r="I32" i="13" s="1"/>
  <c r="O32" i="13"/>
  <c r="H58" i="13"/>
  <c r="I58" i="13" s="1"/>
  <c r="L47" i="13"/>
  <c r="H71" i="13"/>
  <c r="I71" i="13" s="1"/>
  <c r="O71" i="13"/>
  <c r="O98" i="13"/>
  <c r="O54" i="13"/>
  <c r="N38" i="13"/>
  <c r="Q5" i="13"/>
  <c r="O61" i="13"/>
  <c r="H61" i="13"/>
  <c r="I61" i="13" s="1"/>
  <c r="N35" i="13"/>
  <c r="L35" i="13"/>
  <c r="H94" i="13"/>
  <c r="I94" i="13" s="1"/>
  <c r="O94" i="13"/>
  <c r="Q6" i="13"/>
  <c r="O77" i="13"/>
  <c r="H77" i="13"/>
  <c r="O95" i="13"/>
  <c r="H95" i="13"/>
  <c r="I95" i="13" s="1"/>
  <c r="O111" i="13"/>
  <c r="H111" i="13"/>
  <c r="I111" i="13" s="1"/>
  <c r="O43" i="13"/>
  <c r="H43" i="13"/>
  <c r="O36" i="13"/>
  <c r="H36" i="13"/>
  <c r="I36" i="13" s="1"/>
  <c r="O24" i="13"/>
  <c r="H24" i="13"/>
  <c r="I24" i="13" s="1"/>
  <c r="N26" i="13"/>
  <c r="L26" i="13"/>
  <c r="O26" i="13"/>
  <c r="O56" i="13"/>
  <c r="O59" i="13"/>
  <c r="H59" i="13"/>
  <c r="I59" i="13" s="1"/>
  <c r="O57" i="13"/>
  <c r="H57" i="13"/>
  <c r="I57" i="13" s="1"/>
  <c r="O110" i="13"/>
  <c r="H110" i="13"/>
  <c r="I110" i="13" s="1"/>
  <c r="H69" i="13"/>
  <c r="I69" i="13" s="1"/>
  <c r="O69" i="13"/>
  <c r="O67" i="13"/>
  <c r="H67" i="13"/>
  <c r="I67" i="13" s="1"/>
  <c r="L30" i="13"/>
  <c r="H73" i="13"/>
  <c r="L54" i="13"/>
  <c r="O23" i="13"/>
  <c r="O88" i="13"/>
  <c r="O75" i="13"/>
  <c r="H75" i="13"/>
  <c r="O97" i="13"/>
  <c r="H97" i="13"/>
  <c r="O50" i="13"/>
  <c r="H50" i="13"/>
  <c r="I50" i="13" s="1"/>
  <c r="O92" i="13"/>
  <c r="H92" i="13"/>
  <c r="I92" i="13" s="1"/>
  <c r="N60" i="13"/>
  <c r="L60" i="13"/>
  <c r="O47" i="13"/>
  <c r="O99" i="13"/>
  <c r="H99" i="13"/>
  <c r="I99" i="13" s="1"/>
  <c r="O52" i="13"/>
  <c r="H52" i="13"/>
  <c r="O72" i="13"/>
  <c r="H72" i="13"/>
  <c r="I72" i="13" s="1"/>
  <c r="H48" i="13"/>
  <c r="I48" i="13" s="1"/>
  <c r="H41" i="13"/>
  <c r="I41" i="13" s="1"/>
  <c r="H14" i="13"/>
  <c r="I14" i="13" s="1"/>
  <c r="H15" i="13"/>
  <c r="I15" i="13" s="1"/>
  <c r="H70" i="13"/>
  <c r="I70" i="13" s="1"/>
  <c r="H103" i="13"/>
  <c r="I103" i="13" s="1"/>
  <c r="H105" i="13"/>
  <c r="I105" i="13" s="1"/>
  <c r="O28" i="13"/>
  <c r="H28" i="13"/>
  <c r="I28" i="13" s="1"/>
  <c r="O60" i="13"/>
  <c r="H86" i="13"/>
  <c r="I86" i="13" s="1"/>
  <c r="O53" i="13"/>
  <c r="O30" i="13"/>
  <c r="L88" i="13"/>
  <c r="O35" i="13"/>
  <c r="H101" i="13"/>
  <c r="I101" i="13" s="1"/>
  <c r="O101" i="13"/>
  <c r="L78" i="13"/>
  <c r="H51" i="13"/>
  <c r="I51" i="13" s="1"/>
  <c r="O78" i="13"/>
  <c r="O93" i="13"/>
  <c r="N98" i="13" l="1"/>
  <c r="I97" i="13"/>
  <c r="N97" i="13" s="1"/>
  <c r="N81" i="13"/>
  <c r="I80" i="13"/>
  <c r="N80" i="13" s="1"/>
  <c r="N53" i="13"/>
  <c r="I52" i="13"/>
  <c r="N52" i="13" s="1"/>
  <c r="N78" i="13"/>
  <c r="I77" i="13"/>
  <c r="N77" i="13" s="1"/>
  <c r="I113" i="13"/>
  <c r="N113" i="13" s="1"/>
  <c r="N76" i="13"/>
  <c r="I75" i="13"/>
  <c r="N75" i="13" s="1"/>
  <c r="N46" i="13"/>
  <c r="I45" i="13"/>
  <c r="N45" i="13" s="1"/>
  <c r="N34" i="13"/>
  <c r="I33" i="13"/>
  <c r="N33" i="13" s="1"/>
  <c r="I114" i="13"/>
  <c r="N114" i="13" s="1"/>
  <c r="N74" i="13"/>
  <c r="I73" i="13"/>
  <c r="N73" i="13" s="1"/>
  <c r="N44" i="13"/>
  <c r="I43" i="13"/>
  <c r="N43" i="13" s="1"/>
  <c r="N88" i="13"/>
  <c r="I87" i="13"/>
  <c r="N87" i="13" s="1"/>
  <c r="N23" i="13"/>
  <c r="N83" i="13"/>
  <c r="N108" i="13"/>
  <c r="N109" i="13"/>
  <c r="L49" i="13"/>
  <c r="L62" i="13"/>
  <c r="N63" i="13"/>
  <c r="N11" i="13"/>
  <c r="N22" i="13"/>
  <c r="N13" i="13"/>
  <c r="N20" i="13"/>
  <c r="N21" i="13"/>
  <c r="N55" i="13"/>
  <c r="N56" i="13"/>
  <c r="L18" i="13"/>
  <c r="N19" i="13"/>
  <c r="L31" i="13"/>
  <c r="L63" i="13"/>
  <c r="L29" i="13"/>
  <c r="N30" i="13"/>
  <c r="L16" i="13"/>
  <c r="N17" i="13"/>
  <c r="N90" i="13"/>
  <c r="N39" i="13"/>
  <c r="N40" i="13"/>
  <c r="N68" i="13"/>
  <c r="N42" i="13"/>
  <c r="Q4" i="13"/>
  <c r="F69" i="3" s="1"/>
  <c r="L90" i="13"/>
  <c r="L42" i="13"/>
  <c r="N62" i="13"/>
  <c r="L68" i="13"/>
  <c r="N18" i="13"/>
  <c r="N31" i="13"/>
  <c r="L13" i="13"/>
  <c r="L55" i="13"/>
  <c r="N29" i="13"/>
  <c r="L114" i="13"/>
  <c r="L22" i="13"/>
  <c r="L108" i="13"/>
  <c r="L11" i="13"/>
  <c r="N49" i="13"/>
  <c r="L113" i="13"/>
  <c r="L10" i="13"/>
  <c r="I10" i="13"/>
  <c r="N10" i="13" s="1"/>
  <c r="L109" i="13"/>
  <c r="L17" i="13"/>
  <c r="N16" i="13"/>
  <c r="L40" i="13"/>
  <c r="L85" i="13"/>
  <c r="N85" i="13"/>
  <c r="L89" i="13"/>
  <c r="N89" i="13"/>
  <c r="L21" i="13"/>
  <c r="L83" i="13"/>
  <c r="L96" i="13"/>
  <c r="N96" i="13"/>
  <c r="N91" i="13"/>
  <c r="L91" i="13"/>
  <c r="L27" i="13"/>
  <c r="N27" i="13"/>
  <c r="L33" i="13"/>
  <c r="L37" i="13"/>
  <c r="N37" i="13"/>
  <c r="L20" i="13"/>
  <c r="L39" i="13"/>
  <c r="L12" i="13"/>
  <c r="N12" i="13"/>
  <c r="N106" i="13"/>
  <c r="L106" i="13"/>
  <c r="L70" i="13"/>
  <c r="N70" i="13"/>
  <c r="L73" i="13"/>
  <c r="L43" i="13"/>
  <c r="L95" i="13"/>
  <c r="N95" i="13"/>
  <c r="N58" i="13"/>
  <c r="L58" i="13"/>
  <c r="L101" i="13"/>
  <c r="N101" i="13"/>
  <c r="N15" i="13"/>
  <c r="L15" i="13"/>
  <c r="L97" i="13"/>
  <c r="L57" i="13"/>
  <c r="N57" i="13"/>
  <c r="L71" i="13"/>
  <c r="N71" i="13"/>
  <c r="L107" i="13"/>
  <c r="N107" i="13"/>
  <c r="N102" i="13"/>
  <c r="L102" i="13"/>
  <c r="N65" i="13"/>
  <c r="L65" i="13"/>
  <c r="L80" i="13"/>
  <c r="N105" i="13"/>
  <c r="L105" i="13"/>
  <c r="N32" i="13"/>
  <c r="L32" i="13"/>
  <c r="L87" i="13"/>
  <c r="L45" i="13"/>
  <c r="L100" i="13"/>
  <c r="N100" i="13"/>
  <c r="L28" i="13"/>
  <c r="N28" i="13"/>
  <c r="L41" i="13"/>
  <c r="N41" i="13"/>
  <c r="L52" i="13"/>
  <c r="L94" i="13"/>
  <c r="N94" i="13"/>
  <c r="N61" i="13"/>
  <c r="L61" i="13"/>
  <c r="N48" i="13"/>
  <c r="L48" i="13"/>
  <c r="L92" i="13"/>
  <c r="N92" i="13"/>
  <c r="L24" i="13"/>
  <c r="N24" i="13"/>
  <c r="N82" i="13"/>
  <c r="L82" i="13"/>
  <c r="N51" i="13"/>
  <c r="L51" i="13"/>
  <c r="L72" i="13"/>
  <c r="N72" i="13"/>
  <c r="L99" i="13"/>
  <c r="N99" i="13"/>
  <c r="N69" i="13"/>
  <c r="L69" i="13"/>
  <c r="L111" i="13"/>
  <c r="N111" i="13"/>
  <c r="L77" i="13"/>
  <c r="L86" i="13"/>
  <c r="N86" i="13"/>
  <c r="L103" i="13"/>
  <c r="N103" i="13"/>
  <c r="L14" i="13"/>
  <c r="N14" i="13"/>
  <c r="L50" i="13"/>
  <c r="N50" i="13"/>
  <c r="L75" i="13"/>
  <c r="N67" i="13"/>
  <c r="L67" i="13"/>
  <c r="L110" i="13"/>
  <c r="N110" i="13"/>
  <c r="L59" i="13"/>
  <c r="N59" i="13"/>
  <c r="L36" i="13"/>
  <c r="N36" i="13"/>
  <c r="L79" i="13"/>
  <c r="N79" i="13"/>
  <c r="N25" i="13"/>
  <c r="L25" i="13"/>
  <c r="L104" i="13"/>
  <c r="N104" i="13"/>
  <c r="L66" i="13"/>
  <c r="N66" i="13"/>
  <c r="N64" i="13"/>
  <c r="L64" i="13"/>
  <c r="L19" i="13"/>
  <c r="N84" i="13"/>
  <c r="L84" i="13"/>
  <c r="N5" i="13" l="1"/>
  <c r="F68" i="3" s="1"/>
  <c r="E22" i="14" s="1"/>
  <c r="O2" i="13"/>
  <c r="F74" i="1" s="1"/>
  <c r="J10" i="13"/>
  <c r="E38" i="14" l="1"/>
  <c r="E45" i="14" s="1"/>
  <c r="F38" i="14"/>
  <c r="F45" i="14" s="1"/>
  <c r="G38" i="14"/>
  <c r="G45" i="14" s="1"/>
  <c r="H38" i="14"/>
  <c r="H45" i="14" s="1"/>
  <c r="I38" i="14"/>
  <c r="I45" i="14" s="1"/>
  <c r="J38" i="14"/>
  <c r="J45" i="14" s="1"/>
  <c r="K38" i="14"/>
  <c r="K45" i="14" s="1"/>
  <c r="L38" i="14"/>
  <c r="L45" i="14" s="1"/>
  <c r="M38" i="14"/>
  <c r="M45" i="14" s="1"/>
  <c r="N38" i="14"/>
  <c r="N45" i="14" s="1"/>
  <c r="O38" i="14"/>
  <c r="O45" i="14" s="1"/>
  <c r="P38" i="14"/>
  <c r="P45" i="14" s="1"/>
  <c r="Q38" i="14"/>
  <c r="Q45" i="14" s="1"/>
  <c r="R38" i="14"/>
  <c r="R45" i="14" s="1"/>
  <c r="S38" i="14"/>
  <c r="S45" i="14" s="1"/>
  <c r="T38" i="14"/>
  <c r="T45" i="14" s="1"/>
  <c r="U38" i="14"/>
  <c r="U45" i="14" s="1"/>
  <c r="V38" i="14"/>
  <c r="V45" i="14" s="1"/>
  <c r="W38" i="14"/>
  <c r="W45" i="14" s="1"/>
  <c r="X38" i="14"/>
  <c r="X45" i="14" s="1"/>
  <c r="F70" i="3"/>
  <c r="H8" i="7" s="1"/>
  <c r="J11" i="13"/>
  <c r="K10" i="13"/>
  <c r="H10" i="7" l="1"/>
  <c r="H12" i="7" s="1"/>
  <c r="H13" i="7" s="1"/>
  <c r="H15" i="7" s="1"/>
  <c r="V48" i="14"/>
  <c r="V47" i="14"/>
  <c r="R48" i="14"/>
  <c r="R47" i="14"/>
  <c r="N48" i="14"/>
  <c r="N47" i="14"/>
  <c r="J48" i="14"/>
  <c r="J47" i="14"/>
  <c r="F48" i="14"/>
  <c r="F47" i="14"/>
  <c r="U47" i="14"/>
  <c r="U48" i="14"/>
  <c r="Q48" i="14"/>
  <c r="Q47" i="14"/>
  <c r="M47" i="14"/>
  <c r="M48" i="14"/>
  <c r="I47" i="14"/>
  <c r="I48" i="14"/>
  <c r="E48" i="14"/>
  <c r="E47" i="14"/>
  <c r="X47" i="14"/>
  <c r="X48" i="14"/>
  <c r="T48" i="14"/>
  <c r="T47" i="14"/>
  <c r="P47" i="14"/>
  <c r="P48" i="14"/>
  <c r="L48" i="14"/>
  <c r="L47" i="14"/>
  <c r="H47" i="14"/>
  <c r="H48" i="14"/>
  <c r="W47" i="14"/>
  <c r="W48" i="14"/>
  <c r="S48" i="14"/>
  <c r="S47" i="14"/>
  <c r="O48" i="14"/>
  <c r="O47" i="14"/>
  <c r="K48" i="14"/>
  <c r="K47" i="14"/>
  <c r="G47" i="14"/>
  <c r="G48" i="14"/>
  <c r="J12" i="13"/>
  <c r="K11" i="13"/>
  <c r="H11" i="7" l="1"/>
  <c r="H14" i="7" s="1"/>
  <c r="H19" i="7" s="1"/>
  <c r="H18" i="7" s="1"/>
  <c r="H20" i="7" s="1"/>
  <c r="H22" i="7" s="1"/>
  <c r="G50" i="14"/>
  <c r="G51" i="14" s="1"/>
  <c r="G52" i="14" s="1"/>
  <c r="G54" i="14" s="1"/>
  <c r="W50" i="14"/>
  <c r="W51" i="14" s="1"/>
  <c r="W52" i="14" s="1"/>
  <c r="W54" i="14" s="1"/>
  <c r="M50" i="14"/>
  <c r="M51" i="14" s="1"/>
  <c r="M52" i="14" s="1"/>
  <c r="M54" i="14" s="1"/>
  <c r="U50" i="14"/>
  <c r="U51" i="14" s="1"/>
  <c r="U52" i="14" s="1"/>
  <c r="U54" i="14" s="1"/>
  <c r="K50" i="14"/>
  <c r="K51" i="14" s="1"/>
  <c r="K52" i="14" s="1"/>
  <c r="K54" i="14" s="1"/>
  <c r="S50" i="14"/>
  <c r="S51" i="14" s="1"/>
  <c r="S52" i="14" s="1"/>
  <c r="S54" i="14" s="1"/>
  <c r="H50" i="14"/>
  <c r="H51" i="14" s="1"/>
  <c r="H52" i="14" s="1"/>
  <c r="H54" i="14" s="1"/>
  <c r="Q50" i="14"/>
  <c r="Q51" i="14" s="1"/>
  <c r="Q52" i="14" s="1"/>
  <c r="Q54" i="14" s="1"/>
  <c r="J50" i="14"/>
  <c r="J51" i="14" s="1"/>
  <c r="J52" i="14" s="1"/>
  <c r="J54" i="14" s="1"/>
  <c r="R50" i="14"/>
  <c r="R51" i="14" s="1"/>
  <c r="R52" i="14" s="1"/>
  <c r="R54" i="14" s="1"/>
  <c r="P50" i="14"/>
  <c r="P51" i="14" s="1"/>
  <c r="P52" i="14" s="1"/>
  <c r="P54" i="14" s="1"/>
  <c r="X50" i="14"/>
  <c r="X51" i="14" s="1"/>
  <c r="X52" i="14" s="1"/>
  <c r="X54" i="14" s="1"/>
  <c r="I50" i="14"/>
  <c r="I51" i="14" s="1"/>
  <c r="I52" i="14" s="1"/>
  <c r="I54" i="14" s="1"/>
  <c r="O50" i="14"/>
  <c r="O51" i="14" s="1"/>
  <c r="O52" i="14" s="1"/>
  <c r="O54" i="14" s="1"/>
  <c r="L50" i="14"/>
  <c r="L51" i="14" s="1"/>
  <c r="L52" i="14" s="1"/>
  <c r="L54" i="14" s="1"/>
  <c r="T50" i="14"/>
  <c r="T51" i="14" s="1"/>
  <c r="T52" i="14" s="1"/>
  <c r="T54" i="14" s="1"/>
  <c r="E50" i="14"/>
  <c r="E51" i="14" s="1"/>
  <c r="E52" i="14" s="1"/>
  <c r="E54" i="14" s="1"/>
  <c r="E55" i="14" s="1"/>
  <c r="E58" i="14" s="1"/>
  <c r="F50" i="14"/>
  <c r="F51" i="14" s="1"/>
  <c r="F52" i="14" s="1"/>
  <c r="F54" i="14" s="1"/>
  <c r="N50" i="14"/>
  <c r="N51" i="14" s="1"/>
  <c r="N52" i="14" s="1"/>
  <c r="N54" i="14" s="1"/>
  <c r="V50" i="14"/>
  <c r="V51" i="14" s="1"/>
  <c r="V52" i="14" s="1"/>
  <c r="V54" i="14" s="1"/>
  <c r="J13" i="13"/>
  <c r="K12" i="13"/>
  <c r="R56" i="14" l="1"/>
  <c r="R59" i="14" s="1"/>
  <c r="H28" i="7"/>
  <c r="F71" i="3" s="1"/>
  <c r="F72" i="3" s="1"/>
  <c r="H55" i="14"/>
  <c r="H58" i="14" s="1"/>
  <c r="S55" i="14"/>
  <c r="S58" i="14" s="1"/>
  <c r="V55" i="14"/>
  <c r="V58" i="14" s="1"/>
  <c r="Q55" i="14"/>
  <c r="Q58" i="14" s="1"/>
  <c r="R55" i="14"/>
  <c r="R58" i="14" s="1"/>
  <c r="S56" i="14"/>
  <c r="S59" i="14" s="1"/>
  <c r="Q56" i="14"/>
  <c r="Q59" i="14" s="1"/>
  <c r="J56" i="14"/>
  <c r="J59" i="14" s="1"/>
  <c r="K55" i="14"/>
  <c r="K58" i="14" s="1"/>
  <c r="G56" i="14"/>
  <c r="G59" i="14" s="1"/>
  <c r="K56" i="14"/>
  <c r="K59" i="14" s="1"/>
  <c r="M55" i="14"/>
  <c r="M58" i="14" s="1"/>
  <c r="O55" i="14"/>
  <c r="O58" i="14" s="1"/>
  <c r="U56" i="14"/>
  <c r="U59" i="14" s="1"/>
  <c r="F55" i="14"/>
  <c r="F58" i="14" s="1"/>
  <c r="F56" i="14"/>
  <c r="F59" i="14" s="1"/>
  <c r="H56" i="14"/>
  <c r="H59" i="14" s="1"/>
  <c r="I55" i="14"/>
  <c r="I58" i="14" s="1"/>
  <c r="W55" i="14"/>
  <c r="W58" i="14" s="1"/>
  <c r="G55" i="14"/>
  <c r="G58" i="14" s="1"/>
  <c r="T55" i="14"/>
  <c r="T58" i="14" s="1"/>
  <c r="T56" i="14"/>
  <c r="T59" i="14" s="1"/>
  <c r="W56" i="14"/>
  <c r="W59" i="14" s="1"/>
  <c r="X56" i="14"/>
  <c r="X59" i="14" s="1"/>
  <c r="X55" i="14"/>
  <c r="X58" i="14" s="1"/>
  <c r="J55" i="14"/>
  <c r="J58" i="14" s="1"/>
  <c r="V56" i="14"/>
  <c r="V59" i="14" s="1"/>
  <c r="N55" i="14"/>
  <c r="N58" i="14" s="1"/>
  <c r="N56" i="14"/>
  <c r="N59" i="14" s="1"/>
  <c r="L55" i="14"/>
  <c r="L58" i="14" s="1"/>
  <c r="L56" i="14"/>
  <c r="L59" i="14" s="1"/>
  <c r="O56" i="14"/>
  <c r="O59" i="14" s="1"/>
  <c r="P55" i="14"/>
  <c r="P58" i="14" s="1"/>
  <c r="P56" i="14"/>
  <c r="P59" i="14" s="1"/>
  <c r="I56" i="14"/>
  <c r="I59" i="14" s="1"/>
  <c r="U55" i="14"/>
  <c r="U58" i="14" s="1"/>
  <c r="M56" i="14"/>
  <c r="M59" i="14" s="1"/>
  <c r="J14" i="13"/>
  <c r="K13" i="13"/>
  <c r="F87" i="1" l="1"/>
  <c r="O207" i="3"/>
  <c r="O208" i="3" s="1"/>
  <c r="O198" i="3"/>
  <c r="O202" i="3"/>
  <c r="I29" i="14"/>
  <c r="J29" i="14" s="1"/>
  <c r="I28" i="14"/>
  <c r="J28" i="14" s="1"/>
  <c r="J15" i="13"/>
  <c r="K14" i="13"/>
  <c r="O201" i="3" l="1"/>
  <c r="O205" i="3"/>
  <c r="O199" i="3"/>
  <c r="O200" i="3"/>
  <c r="O204" i="3"/>
  <c r="O209" i="3"/>
  <c r="O210" i="3"/>
  <c r="O206" i="3"/>
  <c r="O203" i="3"/>
  <c r="O211" i="3"/>
  <c r="F81" i="1"/>
  <c r="F82" i="1"/>
  <c r="J16" i="13"/>
  <c r="K15" i="13"/>
  <c r="J17" i="13" l="1"/>
  <c r="K16" i="13"/>
  <c r="J18" i="13" l="1"/>
  <c r="K17" i="13"/>
  <c r="J19" i="13" l="1"/>
  <c r="K18" i="13"/>
  <c r="J20" i="13" l="1"/>
  <c r="K19" i="13"/>
  <c r="J21" i="13" l="1"/>
  <c r="K20" i="13"/>
  <c r="J22" i="13" l="1"/>
  <c r="K21" i="13"/>
  <c r="J23" i="13" l="1"/>
  <c r="K22" i="13"/>
  <c r="J24" i="13" l="1"/>
  <c r="K23" i="13"/>
  <c r="J25" i="13" l="1"/>
  <c r="K24" i="13"/>
  <c r="J26" i="13" l="1"/>
  <c r="K25" i="13"/>
  <c r="J27" i="13" l="1"/>
  <c r="K26" i="13"/>
  <c r="J28" i="13" l="1"/>
  <c r="K27" i="13"/>
  <c r="J29" i="13" l="1"/>
  <c r="K28" i="13"/>
  <c r="J30" i="13" l="1"/>
  <c r="K29" i="13"/>
  <c r="J31" i="13" l="1"/>
  <c r="K30" i="13"/>
  <c r="J32" i="13" l="1"/>
  <c r="K31" i="13"/>
  <c r="J33" i="13" l="1"/>
  <c r="K32" i="13"/>
  <c r="J34" i="13" l="1"/>
  <c r="K33" i="13"/>
  <c r="J35" i="13" l="1"/>
  <c r="K34" i="13"/>
  <c r="J36" i="13" l="1"/>
  <c r="K35" i="13"/>
  <c r="J37" i="13" l="1"/>
  <c r="K36" i="13"/>
  <c r="J38" i="13" l="1"/>
  <c r="K37" i="13"/>
  <c r="J39" i="13" l="1"/>
  <c r="K38" i="13"/>
  <c r="J40" i="13" l="1"/>
  <c r="K39" i="13"/>
  <c r="J41" i="13" l="1"/>
  <c r="K40" i="13"/>
  <c r="J42" i="13" l="1"/>
  <c r="K41" i="13"/>
  <c r="J43" i="13" l="1"/>
  <c r="K42" i="13"/>
  <c r="J44" i="13" l="1"/>
  <c r="K43" i="13"/>
  <c r="J45" i="13" l="1"/>
  <c r="K44" i="13"/>
  <c r="J46" i="13" l="1"/>
  <c r="K45" i="13"/>
  <c r="J47" i="13" l="1"/>
  <c r="K46" i="13"/>
  <c r="J48" i="13" l="1"/>
  <c r="K47" i="13"/>
  <c r="J49" i="13" l="1"/>
  <c r="K48" i="13"/>
  <c r="J50" i="13" l="1"/>
  <c r="K49" i="13"/>
  <c r="J51" i="13" l="1"/>
  <c r="K50" i="13"/>
  <c r="J52" i="13" l="1"/>
  <c r="K51" i="13"/>
  <c r="J53" i="13" l="1"/>
  <c r="K52" i="13"/>
  <c r="J54" i="13" l="1"/>
  <c r="K53" i="13"/>
  <c r="J55" i="13" l="1"/>
  <c r="K54" i="13"/>
  <c r="J56" i="13" l="1"/>
  <c r="K55" i="13"/>
  <c r="J57" i="13" l="1"/>
  <c r="K56" i="13"/>
  <c r="J58" i="13" l="1"/>
  <c r="K57" i="13"/>
  <c r="J59" i="13" l="1"/>
  <c r="K58" i="13"/>
  <c r="J60" i="13" l="1"/>
  <c r="K59" i="13"/>
  <c r="J61" i="13" l="1"/>
  <c r="K60" i="13"/>
  <c r="J62" i="13" l="1"/>
  <c r="K61" i="13"/>
  <c r="J63" i="13" l="1"/>
  <c r="K62" i="13"/>
  <c r="J64" i="13" l="1"/>
  <c r="K63" i="13"/>
  <c r="J65" i="13" l="1"/>
  <c r="K64" i="13"/>
  <c r="J66" i="13" l="1"/>
  <c r="K65" i="13"/>
  <c r="J67" i="13" l="1"/>
  <c r="K66" i="13"/>
  <c r="J68" i="13" l="1"/>
  <c r="K67" i="13"/>
  <c r="J69" i="13" l="1"/>
  <c r="K68" i="13"/>
  <c r="J70" i="13" l="1"/>
  <c r="K69" i="13"/>
  <c r="J71" i="13" l="1"/>
  <c r="K70" i="13"/>
  <c r="J72" i="13" l="1"/>
  <c r="K71" i="13"/>
  <c r="J73" i="13" l="1"/>
  <c r="K72" i="13"/>
  <c r="J74" i="13" l="1"/>
  <c r="K73" i="13"/>
  <c r="J75" i="13" l="1"/>
  <c r="K74" i="13"/>
  <c r="J76" i="13" l="1"/>
  <c r="K75" i="13"/>
  <c r="J77" i="13" l="1"/>
  <c r="K76" i="13"/>
  <c r="J78" i="13" l="1"/>
  <c r="K77" i="13"/>
  <c r="J79" i="13" l="1"/>
  <c r="K78" i="13"/>
  <c r="J80" i="13" l="1"/>
  <c r="K79" i="13"/>
  <c r="J81" i="13" l="1"/>
  <c r="K80" i="13"/>
  <c r="J82" i="13" l="1"/>
  <c r="K81" i="13"/>
  <c r="J83" i="13" l="1"/>
  <c r="K82" i="13"/>
  <c r="J84" i="13" l="1"/>
  <c r="K83" i="13"/>
  <c r="J85" i="13" l="1"/>
  <c r="K84" i="13"/>
  <c r="J86" i="13" l="1"/>
  <c r="K85" i="13"/>
  <c r="J87" i="13" l="1"/>
  <c r="K86" i="13"/>
  <c r="J88" i="13" l="1"/>
  <c r="K87" i="13"/>
  <c r="J89" i="13" l="1"/>
  <c r="K88" i="13"/>
  <c r="J90" i="13" l="1"/>
  <c r="K89" i="13"/>
  <c r="J91" i="13" l="1"/>
  <c r="K90" i="13"/>
  <c r="J92" i="13" l="1"/>
  <c r="K91" i="13"/>
  <c r="J93" i="13" l="1"/>
  <c r="K92" i="13"/>
  <c r="J94" i="13" l="1"/>
  <c r="K93" i="13"/>
  <c r="J95" i="13" l="1"/>
  <c r="K94" i="13"/>
  <c r="J96" i="13" l="1"/>
  <c r="K95" i="13"/>
  <c r="J97" i="13" l="1"/>
  <c r="K96" i="13"/>
  <c r="J98" i="13" l="1"/>
  <c r="K97" i="13"/>
  <c r="J99" i="13" l="1"/>
  <c r="K98" i="13"/>
  <c r="J100" i="13" l="1"/>
  <c r="K99" i="13"/>
  <c r="J101" i="13" l="1"/>
  <c r="K100" i="13"/>
  <c r="J102" i="13" l="1"/>
  <c r="K101" i="13"/>
  <c r="J103" i="13" l="1"/>
  <c r="K102" i="13"/>
  <c r="J104" i="13" l="1"/>
  <c r="K103" i="13"/>
  <c r="J105" i="13" l="1"/>
  <c r="K104" i="13"/>
  <c r="J106" i="13" l="1"/>
  <c r="K105" i="13"/>
  <c r="J107" i="13" l="1"/>
  <c r="K106" i="13"/>
  <c r="J108" i="13" l="1"/>
  <c r="K107" i="13"/>
  <c r="J109" i="13" l="1"/>
  <c r="K108" i="13"/>
  <c r="J110" i="13" l="1"/>
  <c r="K109" i="13"/>
  <c r="J111" i="13" l="1"/>
  <c r="K110" i="13"/>
  <c r="J112" i="13" l="1"/>
  <c r="K111" i="13"/>
  <c r="J113" i="13" l="1"/>
  <c r="K112" i="13"/>
  <c r="J114" i="13" l="1"/>
  <c r="K113" i="13"/>
  <c r="M2" i="13" l="1"/>
  <c r="K131" i="1" s="1"/>
  <c r="K114" i="13"/>
  <c r="K115" i="13" s="1"/>
  <c r="F73" i="1" l="1"/>
  <c r="F53" i="3"/>
  <c r="F55" i="3" s="1"/>
  <c r="F75" i="1" l="1"/>
  <c r="F56" i="3"/>
  <c r="F76" i="1" s="1"/>
</calcChain>
</file>

<file path=xl/comments1.xml><?xml version="1.0" encoding="utf-8"?>
<comments xmlns="http://schemas.openxmlformats.org/spreadsheetml/2006/main">
  <authors>
    <author>dmorgan</author>
    <author>bdemsc</author>
    <author>a0272042</author>
    <author>TI User</author>
    <author>Alex Triano</author>
  </authors>
  <commentList>
    <comment ref="F27" authorId="0" shapeId="0">
      <text>
        <r>
          <rPr>
            <b/>
            <sz val="8"/>
            <color indexed="81"/>
            <rFont val="Tahoma"/>
            <family val="2"/>
          </rPr>
          <t>The minimum system voltage must be no less than 2.9V.</t>
        </r>
      </text>
    </comment>
    <comment ref="F29" authorId="0" shapeId="0">
      <text>
        <r>
          <rPr>
            <b/>
            <sz val="8"/>
            <color indexed="81"/>
            <rFont val="Tahoma"/>
            <family val="2"/>
          </rPr>
          <t>The maximum system voltage must be no greater than 17V.</t>
        </r>
      </text>
    </comment>
    <comment ref="F31" authorId="0" shapeId="0">
      <text>
        <r>
          <rPr>
            <b/>
            <sz val="8"/>
            <color indexed="81"/>
            <rFont val="Tahoma"/>
            <family val="2"/>
          </rPr>
          <t xml:space="preserve">This is the capacitance at Vout. This should not be zero. A minimum of 10 </t>
        </r>
        <r>
          <rPr>
            <b/>
            <sz val="8"/>
            <color indexed="81"/>
            <rFont val="Arial"/>
            <family val="2"/>
          </rPr>
          <t>μ</t>
        </r>
        <r>
          <rPr>
            <b/>
            <sz val="8"/>
            <color indexed="81"/>
            <rFont val="Tahoma"/>
            <family val="2"/>
          </rPr>
          <t>F is recommended.</t>
        </r>
      </text>
    </comment>
    <comment ref="F37" authorId="1" shapeId="0">
      <text>
        <r>
          <rPr>
            <b/>
            <sz val="8"/>
            <color indexed="81"/>
            <rFont val="Tahoma"/>
            <family val="2"/>
          </rPr>
          <t>Select either 25mV or 46mV current limit.
25mV will result in less power loss in the Rs resistor.</t>
        </r>
      </text>
    </comment>
    <comment ref="F39" authorId="2" shapeId="0">
      <text>
        <r>
          <rPr>
            <b/>
            <sz val="9"/>
            <color indexed="81"/>
            <rFont val="Tahoma"/>
            <family val="2"/>
          </rPr>
          <t xml:space="preserve">Using an External Resistor allows the user to fine tune the current limit for a given standard resistor. 
It will add error to the power limit, current limit, and telemetry (1% resistors) and should be avoided if possible. </t>
        </r>
        <r>
          <rPr>
            <sz val="9"/>
            <color indexed="81"/>
            <rFont val="Tahoma"/>
            <family val="2"/>
          </rPr>
          <t xml:space="preserve">
</t>
        </r>
      </text>
    </comment>
    <comment ref="F40" authorId="0" shapeId="0">
      <text>
        <r>
          <rPr>
            <b/>
            <sz val="8"/>
            <color indexed="81"/>
            <rFont val="Tahoma"/>
            <family val="2"/>
          </rPr>
          <t xml:space="preserve">When using an external resistor divider, Rs must be larger than the targeted Rs,eff.  Pick the next larger available Rs.  
When not using an external resistor divider, pick the next smallest available sense resistor. </t>
        </r>
      </text>
    </comment>
    <comment ref="F41" authorId="2" shapeId="0">
      <text>
        <r>
          <rPr>
            <b/>
            <sz val="9"/>
            <color indexed="81"/>
            <rFont val="Tahoma"/>
            <family val="2"/>
          </rPr>
          <t xml:space="preserve">Cell turns Red if 
When using an external resistor divider, Rs must be larger than the targeted Rs,eff.  Pick the next larger available Rs.  
</t>
        </r>
        <r>
          <rPr>
            <sz val="9"/>
            <color indexed="81"/>
            <rFont val="Tahoma"/>
            <family val="2"/>
          </rPr>
          <t xml:space="preserve">
</t>
        </r>
      </text>
    </comment>
    <comment ref="F46" authorId="2" shapeId="0">
      <text>
        <r>
          <rPr>
            <b/>
            <sz val="9"/>
            <color indexed="81"/>
            <rFont val="Tahoma"/>
            <family val="2"/>
          </rPr>
          <t xml:space="preserve">Ensure that the minimum current limit is above maximum load. </t>
        </r>
      </text>
    </comment>
    <comment ref="F47" authorId="2" shapeId="0">
      <text>
        <r>
          <rPr>
            <b/>
            <sz val="9"/>
            <color indexed="81"/>
            <rFont val="Tahoma"/>
            <family val="2"/>
          </rPr>
          <t xml:space="preserve">Ensure that the minimum current limit is above maximum load. </t>
        </r>
        <r>
          <rPr>
            <sz val="9"/>
            <color indexed="81"/>
            <rFont val="Tahoma"/>
            <family val="2"/>
          </rPr>
          <t xml:space="preserve">
</t>
        </r>
      </text>
    </comment>
    <comment ref="F48" authorId="2" shapeId="0">
      <text>
        <r>
          <rPr>
            <b/>
            <sz val="9"/>
            <color indexed="81"/>
            <rFont val="Tahoma"/>
            <family val="2"/>
          </rPr>
          <t xml:space="preserve">Ensure that the minimum current limit is above maximum load. </t>
        </r>
        <r>
          <rPr>
            <sz val="9"/>
            <color indexed="81"/>
            <rFont val="Tahoma"/>
            <family val="2"/>
          </rPr>
          <t xml:space="preserve">
</t>
        </r>
      </text>
    </comment>
    <comment ref="F49" authorId="0" shapeId="0">
      <text>
        <r>
          <rPr>
            <b/>
            <sz val="8"/>
            <color indexed="81"/>
            <rFont val="Tahoma"/>
            <family val="2"/>
          </rPr>
          <t>The power dissipation is calculated using the maximum normal load current.
Ensure the selected resistor is rated for this power dissipation.</t>
        </r>
      </text>
    </comment>
    <comment ref="F53" authorId="2" shapeId="0">
      <text>
        <r>
          <rPr>
            <b/>
            <sz val="9"/>
            <color indexed="81"/>
            <rFont val="Tahoma"/>
            <family val="2"/>
          </rPr>
          <t xml:space="preserve">Note that this parameter is heavily dependent on the board layout and amount of copper connected to the Drain of the FET. 
The TI EVM is ~30C / W number and is a good starting point. It's recommended to measure this value again once the boards are built and plugging this back into the calculator. </t>
        </r>
        <r>
          <rPr>
            <sz val="9"/>
            <color indexed="81"/>
            <rFont val="Tahoma"/>
            <family val="2"/>
          </rPr>
          <t xml:space="preserve">
</t>
        </r>
      </text>
    </comment>
    <comment ref="F63" authorId="2" shapeId="0">
      <text>
        <r>
          <rPr>
            <sz val="9"/>
            <color indexed="81"/>
            <rFont val="Tahoma"/>
            <family val="2"/>
          </rPr>
          <t xml:space="preserve">If FET temperature is too high, increase the # of FETs, reduce the load, or reduce the RθJA by adding more heat sinking to MOSFETs. 
</t>
        </r>
      </text>
    </comment>
    <comment ref="F65" authorId="2" shapeId="0">
      <text>
        <r>
          <rPr>
            <sz val="9"/>
            <color indexed="81"/>
            <rFont val="Tahoma"/>
            <family val="2"/>
          </rPr>
          <t xml:space="preserve">Usually this can be set to PLIM,MIN.  If a load is present during start-up a higher Plim, may be preferred. </t>
        </r>
        <r>
          <rPr>
            <b/>
            <sz val="9"/>
            <color indexed="81"/>
            <rFont val="Tahoma"/>
            <family val="2"/>
          </rPr>
          <t xml:space="preserve">
</t>
        </r>
      </text>
    </comment>
    <comment ref="F68" authorId="2" shapeId="0">
      <text>
        <r>
          <rPr>
            <sz val="9"/>
            <color indexed="81"/>
            <rFont val="Tahoma"/>
            <family val="2"/>
          </rPr>
          <t xml:space="preserve">Cell turns Red if the actual power limit is below Minimum Power Limit (cell F46)
</t>
        </r>
      </text>
    </comment>
    <comment ref="I68" authorId="3" shapeId="0">
      <text>
        <r>
          <rPr>
            <sz val="8"/>
            <color indexed="81"/>
            <rFont val="Tahoma"/>
            <family val="2"/>
          </rPr>
          <t xml:space="preserve">3 Parameters:
Step 1: Max Ambrient Operating Temperature 
Step 3: Estimated MOSFET RQJA
Step 3: FET Power Dissipation at full load 
**This includes air flow
</t>
        </r>
      </text>
    </comment>
    <comment ref="F70" authorId="1" shapeId="0">
      <text>
        <r>
          <rPr>
            <b/>
            <sz val="8"/>
            <color indexed="81"/>
            <rFont val="Tahoma"/>
            <family val="2"/>
          </rPr>
          <t>Select if the load will draw current during start-up. 
For no Load, choose constant current and set to zero</t>
        </r>
      </text>
    </comment>
    <comment ref="F72" authorId="1" shapeId="0">
      <text>
        <r>
          <rPr>
            <b/>
            <sz val="8"/>
            <color indexed="81"/>
            <rFont val="Tahoma"/>
            <family val="2"/>
          </rPr>
          <t>Yes or No.  Default is No.  However, DV/DT control can be useful in high current applications or applications were COUT is large.
If SOA margin is poor with a PLIM start-up, switching to a soft start can alleviate this problem.</t>
        </r>
      </text>
    </comment>
    <comment ref="F74" authorId="2" shapeId="0">
      <text>
        <r>
          <rPr>
            <b/>
            <sz val="9"/>
            <color indexed="81"/>
            <rFont val="Tahoma"/>
            <family val="2"/>
          </rPr>
          <t xml:space="preserve">If IFET - ILOAD margin is too low, there may be start-up issues due to variation in power limit or load profile.  A margin &gt; 25% is recommended. 
If margin is &lt; 25%, the power limit should be increased or the load should be kept completely OFF during start-up. </t>
        </r>
        <r>
          <rPr>
            <sz val="9"/>
            <color indexed="81"/>
            <rFont val="Tahoma"/>
            <family val="2"/>
          </rPr>
          <t xml:space="preserve">
</t>
        </r>
      </text>
    </comment>
    <comment ref="F75" authorId="0" shapeId="0">
      <text>
        <r>
          <rPr>
            <b/>
            <sz val="8"/>
            <color indexed="81"/>
            <rFont val="Tahoma"/>
            <family val="2"/>
          </rPr>
          <t xml:space="preserve">TO ensure start-up the faul time out must be longer than the start-up time. It is recommended to choose a fault timer that is larger than the typical start-time to account for variations in Plim, timer current, and timer capacitance. </t>
        </r>
      </text>
    </comment>
    <comment ref="F77" authorId="2" shapeId="0">
      <text>
        <r>
          <rPr>
            <b/>
            <sz val="9"/>
            <color indexed="81"/>
            <rFont val="Tahoma"/>
            <family val="2"/>
          </rPr>
          <t>Pick closest capacitor that is larger than the Target capacitance</t>
        </r>
        <r>
          <rPr>
            <sz val="9"/>
            <color indexed="81"/>
            <rFont val="Tahoma"/>
            <family val="2"/>
          </rPr>
          <t xml:space="preserve">
</t>
        </r>
      </text>
    </comment>
    <comment ref="F79" authorId="2" shapeId="0">
      <text>
        <r>
          <rPr>
            <sz val="9"/>
            <color indexed="81"/>
            <rFont val="Tahoma"/>
            <family val="2"/>
          </rPr>
          <t>A ratio over 1.1 is required and over 1.3 is preferred.  This will account for variation in Power limit and timer
If the margin is poor with a PLIM based start-up,  reduce timer, reduce power limit, use more FETs in parallel or switch to soft start (cell F55)</t>
        </r>
      </text>
    </comment>
    <comment ref="F80" authorId="1" shapeId="0">
      <text>
        <r>
          <rPr>
            <b/>
            <sz val="8"/>
            <color indexed="81"/>
            <rFont val="Tahoma"/>
            <family val="2"/>
          </rPr>
          <t xml:space="preserve">This is used to determine the maximum FET case temperature before start-up. 
A "yes" here means that a user may run a board at full current, then unplug the board and plug it back in. In that the FET is hot before hot-plug. 
If this is a "no".  FET temperature just equals the ambient temperature. </t>
        </r>
      </text>
    </comment>
    <comment ref="F81" authorId="2" shapeId="0">
      <text>
        <r>
          <rPr>
            <b/>
            <sz val="9"/>
            <color indexed="81"/>
            <rFont val="Tahoma"/>
            <family val="2"/>
          </rPr>
          <t xml:space="preserve">If these cells are red, there is no suitable slew rate for keeping FET whithin SOA. 
Reduce load at start-up or pick FET with better SOA. </t>
        </r>
      </text>
    </comment>
    <comment ref="F82" authorId="2" shapeId="0">
      <text>
        <r>
          <rPr>
            <b/>
            <sz val="9"/>
            <color indexed="81"/>
            <rFont val="Tahoma"/>
            <family val="2"/>
          </rPr>
          <t xml:space="preserve">If these cells are red, there is no suitable slew rate for keeping FET whithin SOA. 
Reduce load at start-up or pick FET with better SOA. </t>
        </r>
        <r>
          <rPr>
            <sz val="9"/>
            <color indexed="81"/>
            <rFont val="Tahoma"/>
            <family val="2"/>
          </rPr>
          <t xml:space="preserve">
</t>
        </r>
      </text>
    </comment>
    <comment ref="F83" authorId="2" shapeId="0">
      <text>
        <r>
          <rPr>
            <b/>
            <sz val="9"/>
            <color indexed="81"/>
            <rFont val="Tahoma"/>
            <family val="2"/>
          </rPr>
          <t>Ensure that this is lower than max ss slew rate in the cell above</t>
        </r>
        <r>
          <rPr>
            <sz val="9"/>
            <color indexed="81"/>
            <rFont val="Tahoma"/>
            <family val="2"/>
          </rPr>
          <t xml:space="preserve">
</t>
        </r>
      </text>
    </comment>
    <comment ref="F86" authorId="2" shapeId="0">
      <text>
        <r>
          <rPr>
            <b/>
            <sz val="9"/>
            <color indexed="81"/>
            <rFont val="Tahoma"/>
            <family val="2"/>
          </rPr>
          <t>Ensure that this is lower than max ss slew rate.</t>
        </r>
      </text>
    </comment>
    <comment ref="F87" authorId="2" shapeId="0">
      <text>
        <r>
          <rPr>
            <sz val="9"/>
            <color indexed="81"/>
            <rFont val="Tahoma"/>
            <family val="2"/>
          </rPr>
          <t>A margin of &gt;1.1 is required and a margin of &gt;1.3 is recommended to accout for the variation in the gate current. 
Reduce dv/dt rate to reduce inrush current and increase SOA margin</t>
        </r>
      </text>
    </comment>
    <comment ref="F92" authorId="2" shapeId="0">
      <text>
        <r>
          <rPr>
            <b/>
            <sz val="9"/>
            <color indexed="81"/>
            <rFont val="Tahoma"/>
            <family val="2"/>
          </rPr>
          <t xml:space="preserve">A margin of &gt;1.1 is required and a margin of &gt;1.3 is recommended to accout for the variation in the power limit and timer. 
Reduce Tfault to improve SOA margin. </t>
        </r>
        <r>
          <rPr>
            <sz val="9"/>
            <color indexed="81"/>
            <rFont val="Tahoma"/>
            <family val="2"/>
          </rPr>
          <t xml:space="preserve">
</t>
        </r>
      </text>
    </comment>
    <comment ref="F94" authorId="0" shapeId="0">
      <text>
        <r>
          <rPr>
            <b/>
            <sz val="8"/>
            <color indexed="81"/>
            <rFont val="Tahoma"/>
            <family val="2"/>
          </rPr>
          <t>This calculation applies only when the RETRY option is selected.</t>
        </r>
      </text>
    </comment>
    <comment ref="F95" authorId="1" shapeId="0">
      <text>
        <r>
          <rPr>
            <b/>
            <sz val="8"/>
            <color indexed="81"/>
            <rFont val="Tahoma"/>
            <family val="2"/>
          </rPr>
          <t>See the schematics above to select the appropriate option for setting the input voltage UVLO and OVLO thresholds.</t>
        </r>
      </text>
    </comment>
    <comment ref="F96" authorId="0" shapeId="0">
      <text>
        <r>
          <rPr>
            <b/>
            <sz val="8"/>
            <color indexed="81"/>
            <rFont val="Tahoma"/>
            <family val="2"/>
          </rPr>
          <t>This threshold must be between 2.9V and 17V.</t>
        </r>
      </text>
    </comment>
    <comment ref="F97" authorId="0" shapeId="0">
      <text>
        <r>
          <rPr>
            <b/>
            <sz val="8"/>
            <color indexed="81"/>
            <rFont val="Tahoma"/>
            <family val="2"/>
          </rPr>
          <t>This threshold must be greater than 2.65V, and less than the upper UVLO threshold.</t>
        </r>
      </text>
    </comment>
    <comment ref="F98" authorId="0" shapeId="0">
      <text>
        <r>
          <rPr>
            <b/>
            <sz val="8"/>
            <color indexed="81"/>
            <rFont val="Tahoma"/>
            <family val="2"/>
          </rPr>
          <t>This threshold must be greater than the upper UVLO Threshold, and less than 17V.</t>
        </r>
      </text>
    </comment>
    <comment ref="F146" authorId="4" shapeId="0">
      <text>
        <r>
          <rPr>
            <sz val="9"/>
            <color indexed="81"/>
            <rFont val="Tahoma"/>
            <family val="2"/>
          </rPr>
          <t xml:space="preserve">TI recommended. Same as EVM
</t>
        </r>
      </text>
    </comment>
    <comment ref="F148" authorId="4" shapeId="0">
      <text>
        <r>
          <rPr>
            <sz val="9"/>
            <color indexed="81"/>
            <rFont val="Tahoma"/>
            <family val="2"/>
          </rPr>
          <t xml:space="preserve">TI recomends the SMDJxx TVS, which are used on the EVM. 
Pick the proper value based on the input voltage. </t>
        </r>
      </text>
    </comment>
  </commentList>
</comments>
</file>

<file path=xl/comments2.xml><?xml version="1.0" encoding="utf-8"?>
<comments xmlns="http://schemas.openxmlformats.org/spreadsheetml/2006/main">
  <authors>
    <author>bdemsc</author>
  </authors>
  <commentList>
    <comment ref="C39" authorId="0" shapeId="0">
      <text>
        <r>
          <rPr>
            <b/>
            <sz val="8"/>
            <color indexed="81"/>
            <rFont val="Tahoma"/>
            <family val="2"/>
          </rPr>
          <t xml:space="preserve">Enter data from the MOSFET's SOA chart typically found in its datasheet.
</t>
        </r>
        <r>
          <rPr>
            <b/>
            <sz val="8"/>
            <color indexed="10"/>
            <rFont val="Tahoma"/>
            <family val="2"/>
          </rPr>
          <t>Consult the MOSFET vendor for SOA performance detail and appropriate derating criteria.</t>
        </r>
      </text>
    </comment>
    <comment ref="C40" authorId="0" shapeId="0">
      <text>
        <r>
          <rPr>
            <b/>
            <sz val="8"/>
            <color indexed="81"/>
            <rFont val="Tahoma"/>
            <family val="2"/>
          </rPr>
          <t xml:space="preserve">Enter data from the MOSFET's SOA chart typically found in its datasheet.
</t>
        </r>
        <r>
          <rPr>
            <b/>
            <sz val="8"/>
            <color indexed="10"/>
            <rFont val="Tahoma"/>
            <family val="2"/>
          </rPr>
          <t>Consult the MOSFET vendor for SOA performance detail and appropriate derating criteria.</t>
        </r>
      </text>
    </comment>
    <comment ref="C41" authorId="0" shapeId="0">
      <text>
        <r>
          <rPr>
            <b/>
            <sz val="8"/>
            <color indexed="81"/>
            <rFont val="Tahoma"/>
            <family val="2"/>
          </rPr>
          <t xml:space="preserve">Enter data from the MOSFET's SOA chart typically found in its datasheet.
</t>
        </r>
        <r>
          <rPr>
            <b/>
            <sz val="8"/>
            <color indexed="10"/>
            <rFont val="Tahoma"/>
            <family val="2"/>
          </rPr>
          <t>Consult the MOSFET vendor for SOA performance detail and appropriate derating criteria.</t>
        </r>
      </text>
    </comment>
  </commentList>
</comments>
</file>

<file path=xl/sharedStrings.xml><?xml version="1.0" encoding="utf-8"?>
<sst xmlns="http://schemas.openxmlformats.org/spreadsheetml/2006/main" count="769" uniqueCount="523">
  <si>
    <t>Max Rs =</t>
  </si>
  <si>
    <t>Min. Current limit =</t>
  </si>
  <si>
    <t>Typ. Current limit =</t>
  </si>
  <si>
    <t>Max. Current limit =</t>
  </si>
  <si>
    <t>Rs Power Diss. =</t>
  </si>
  <si>
    <t>Resulting Typical Power Limit =</t>
  </si>
  <si>
    <t>Resulting Minimum Power Limit =</t>
  </si>
  <si>
    <t>Resulting Maximum Power Limit =</t>
  </si>
  <si>
    <t>ms</t>
  </si>
  <si>
    <t>(V)</t>
  </si>
  <si>
    <t>(A)</t>
  </si>
  <si>
    <t>Typ. Insertion time =</t>
  </si>
  <si>
    <t>Typ. Restart time =</t>
  </si>
  <si>
    <t>R1 =</t>
  </si>
  <si>
    <t>R2 =</t>
  </si>
  <si>
    <t>R3 =</t>
  </si>
  <si>
    <t>R4 =</t>
  </si>
  <si>
    <t xml:space="preserve">   24% tolerance used in this calculation.</t>
  </si>
  <si>
    <t xml:space="preserve">  10% margin added in this calculation</t>
  </si>
  <si>
    <r>
      <t>R</t>
    </r>
    <r>
      <rPr>
        <vertAlign val="subscript"/>
        <sz val="10"/>
        <rFont val="Arial"/>
        <family val="2"/>
      </rPr>
      <t>PWR</t>
    </r>
    <r>
      <rPr>
        <sz val="10"/>
        <rFont val="Arial"/>
        <family val="2"/>
      </rPr>
      <t xml:space="preserve"> =</t>
    </r>
  </si>
  <si>
    <r>
      <t>C</t>
    </r>
    <r>
      <rPr>
        <vertAlign val="subscript"/>
        <sz val="10"/>
        <rFont val="Arial"/>
        <family val="2"/>
      </rPr>
      <t>T</t>
    </r>
    <r>
      <rPr>
        <sz val="10"/>
        <rFont val="Arial"/>
        <family val="2"/>
      </rPr>
      <t xml:space="preserve"> =</t>
    </r>
  </si>
  <si>
    <t>Notes:</t>
  </si>
  <si>
    <t>Option A</t>
  </si>
  <si>
    <t>Option B</t>
  </si>
  <si>
    <t>Select Option A or Option B</t>
  </si>
  <si>
    <t>R2</t>
  </si>
  <si>
    <t>R3</t>
  </si>
  <si>
    <t>R4</t>
  </si>
  <si>
    <t>A</t>
  </si>
  <si>
    <t>B</t>
  </si>
  <si>
    <t>UVLO upper is F40</t>
  </si>
  <si>
    <t>UVLO lower is F41</t>
  </si>
  <si>
    <t>OVLO upper is F42</t>
  </si>
  <si>
    <t>OVLO lower is F43</t>
  </si>
  <si>
    <t xml:space="preserve">R3 = </t>
  </si>
  <si>
    <t xml:space="preserve">R2 = </t>
  </si>
  <si>
    <t xml:space="preserve">R1 = </t>
  </si>
  <si>
    <t xml:space="preserve">R4 = </t>
  </si>
  <si>
    <t>Minimum</t>
  </si>
  <si>
    <t>Typical</t>
  </si>
  <si>
    <t>Maximum</t>
  </si>
  <si>
    <t xml:space="preserve">Resulting upper UVLO Threshold (min) = </t>
  </si>
  <si>
    <t xml:space="preserve">Resulting upper UVLO Threshold (typ) = </t>
  </si>
  <si>
    <t xml:space="preserve">Resulting upper UVLO Threshold (max) = </t>
  </si>
  <si>
    <t xml:space="preserve">Resulting lower UVLO Threshold (min) = </t>
  </si>
  <si>
    <t xml:space="preserve">Resulting lower UVLO Threshold (typ) = </t>
  </si>
  <si>
    <t xml:space="preserve">Resulting lower UVLO Threshold (max) = </t>
  </si>
  <si>
    <t xml:space="preserve">Resulting upper OVLO Threshold (min) = </t>
  </si>
  <si>
    <t xml:space="preserve">Resulting upper OVLO Threshold (typ) = </t>
  </si>
  <si>
    <t xml:space="preserve">Resulting upper OVLO Threshold (max) = </t>
  </si>
  <si>
    <t xml:space="preserve">Resulting lower OVLO Threshold (min) = </t>
  </si>
  <si>
    <t xml:space="preserve">Resulting lower OVLO Threshold (typ) = </t>
  </si>
  <si>
    <t xml:space="preserve">Resulting lower OVLO Threshold (max) = </t>
  </si>
  <si>
    <t>R1 is F48</t>
  </si>
  <si>
    <t>R2 is F49</t>
  </si>
  <si>
    <t>R3 is F50</t>
  </si>
  <si>
    <t>R4 is F51</t>
  </si>
  <si>
    <t>Resulting Thresholds:</t>
  </si>
  <si>
    <r>
      <t>C</t>
    </r>
    <r>
      <rPr>
        <vertAlign val="subscript"/>
        <sz val="10"/>
        <rFont val="Arial"/>
        <family val="2"/>
      </rPr>
      <t>IN</t>
    </r>
    <r>
      <rPr>
        <sz val="10"/>
        <rFont val="Arial"/>
        <family val="2"/>
      </rPr>
      <t xml:space="preserve"> = </t>
    </r>
  </si>
  <si>
    <r>
      <t>R</t>
    </r>
    <r>
      <rPr>
        <vertAlign val="subscript"/>
        <sz val="10"/>
        <rFont val="Arial"/>
        <family val="2"/>
      </rPr>
      <t>PG</t>
    </r>
    <r>
      <rPr>
        <sz val="10"/>
        <rFont val="Arial"/>
        <family val="2"/>
      </rPr>
      <t xml:space="preserve"> =</t>
    </r>
  </si>
  <si>
    <r>
      <t>V</t>
    </r>
    <r>
      <rPr>
        <b/>
        <vertAlign val="subscript"/>
        <sz val="10"/>
        <rFont val="Arial"/>
        <family val="2"/>
      </rPr>
      <t>DS</t>
    </r>
  </si>
  <si>
    <t>GRAPH:</t>
  </si>
  <si>
    <t>Selected Rs =</t>
  </si>
  <si>
    <r>
      <t>Selected R</t>
    </r>
    <r>
      <rPr>
        <vertAlign val="subscript"/>
        <sz val="10"/>
        <rFont val="Arial"/>
        <family val="2"/>
      </rPr>
      <t>PWR</t>
    </r>
    <r>
      <rPr>
        <sz val="10"/>
        <rFont val="Arial"/>
        <family val="2"/>
      </rPr>
      <t xml:space="preserve"> =</t>
    </r>
  </si>
  <si>
    <t>Max System voltage =</t>
  </si>
  <si>
    <t>Current Lim (min) =</t>
  </si>
  <si>
    <t>Current Lim (typ) =</t>
  </si>
  <si>
    <t>Current Lim (max) =</t>
  </si>
  <si>
    <t>Power Limit (min) =</t>
  </si>
  <si>
    <t>Power Limit (typ) =</t>
  </si>
  <si>
    <t>Power Limit (max) =</t>
  </si>
  <si>
    <t>A) This table calculates the Ids current based</t>
  </si>
  <si>
    <t>B) This table corrrects the table at left so no</t>
  </si>
  <si>
    <t>on power limit only - no current limit info.</t>
  </si>
  <si>
    <t>current is greater than the current limit.</t>
  </si>
  <si>
    <t>Vds</t>
  </si>
  <si>
    <t>Min</t>
  </si>
  <si>
    <t>Typ</t>
  </si>
  <si>
    <t>Max</t>
  </si>
  <si>
    <t>SOA data points from</t>
  </si>
  <si>
    <t>the customer's SOA</t>
  </si>
  <si>
    <t>data he entered.</t>
  </si>
  <si>
    <t>User's</t>
  </si>
  <si>
    <t>Ids</t>
  </si>
  <si>
    <t>x = customer's entry</t>
  </si>
  <si>
    <t>x</t>
  </si>
  <si>
    <t>SOA</t>
  </si>
  <si>
    <t>C) This table creates the</t>
  </si>
  <si>
    <t>25 mV</t>
  </si>
  <si>
    <t>µF</t>
  </si>
  <si>
    <r>
      <t>k</t>
    </r>
    <r>
      <rPr>
        <sz val="10"/>
        <rFont val="Symbol"/>
        <family val="1"/>
        <charset val="2"/>
      </rPr>
      <t>W</t>
    </r>
  </si>
  <si>
    <r>
      <t>m</t>
    </r>
    <r>
      <rPr>
        <sz val="10"/>
        <rFont val="Symbol"/>
        <family val="1"/>
        <charset val="2"/>
      </rPr>
      <t>W</t>
    </r>
  </si>
  <si>
    <t>V</t>
  </si>
  <si>
    <t>W</t>
  </si>
  <si>
    <t>D) This table changes ID values to zero for Vds&gt;Vin(max)</t>
  </si>
  <si>
    <t>and adds the SOA curve. This data is plotted.</t>
  </si>
  <si>
    <r>
      <t>1. Although not mandatory, C</t>
    </r>
    <r>
      <rPr>
        <vertAlign val="subscript"/>
        <sz val="10"/>
        <rFont val="Arial"/>
        <family val="2"/>
      </rPr>
      <t>IN</t>
    </r>
    <r>
      <rPr>
        <sz val="10"/>
        <rFont val="Arial"/>
        <family val="2"/>
      </rPr>
      <t xml:space="preserve"> provides transient suppression at the VIN pin</t>
    </r>
  </si>
  <si>
    <t>Resulting Typical Restart Time</t>
  </si>
  <si>
    <t>Desired Upper UVLO Threshold</t>
  </si>
  <si>
    <t>Desired Lower UVLO Threshold</t>
  </si>
  <si>
    <t>Desired Lower OVLO Threshold</t>
  </si>
  <si>
    <t xml:space="preserve">Resulting Upper UVLO Threshold = </t>
  </si>
  <si>
    <t xml:space="preserve">Resulting Lower UVLO Threshold = </t>
  </si>
  <si>
    <t xml:space="preserve">Resulting Upper OVLO Threshold = </t>
  </si>
  <si>
    <t xml:space="preserve">Resulting Lower OVLO Threshold = </t>
  </si>
  <si>
    <t>Resulting Minimum Current Limit</t>
  </si>
  <si>
    <t>Resulting Typical Current Limit</t>
  </si>
  <si>
    <t>Resulting Maximum Current Limit</t>
  </si>
  <si>
    <t>Desired Upper OVLO Threshold</t>
  </si>
  <si>
    <t>Calculated Values are shown in White Cells</t>
  </si>
  <si>
    <t>www.ti.com/hotswap</t>
  </si>
  <si>
    <t xml:space="preserve">Enter the Resistance for R1 </t>
  </si>
  <si>
    <t xml:space="preserve">Enter the Resistance for R2 </t>
  </si>
  <si>
    <t xml:space="preserve">Enter the Resistance for R3 </t>
  </si>
  <si>
    <t xml:space="preserve">Enter the Resistance for R4 </t>
  </si>
  <si>
    <r>
      <t>Enter the Resistance for R</t>
    </r>
    <r>
      <rPr>
        <vertAlign val="subscript"/>
        <sz val="10"/>
        <rFont val="Arial"/>
        <family val="2"/>
      </rPr>
      <t>S</t>
    </r>
  </si>
  <si>
    <r>
      <t>R</t>
    </r>
    <r>
      <rPr>
        <vertAlign val="subscript"/>
        <sz val="10"/>
        <rFont val="Arial"/>
        <family val="2"/>
      </rPr>
      <t>FB2</t>
    </r>
  </si>
  <si>
    <r>
      <t>R</t>
    </r>
    <r>
      <rPr>
        <vertAlign val="subscript"/>
        <sz val="10"/>
        <rFont val="Arial"/>
        <family val="2"/>
      </rPr>
      <t>FB1</t>
    </r>
    <r>
      <rPr>
        <sz val="10"/>
        <rFont val="Arial"/>
        <family val="2"/>
      </rPr>
      <t xml:space="preserve"> =</t>
    </r>
  </si>
  <si>
    <r>
      <t>R</t>
    </r>
    <r>
      <rPr>
        <vertAlign val="subscript"/>
        <sz val="10"/>
        <rFont val="Arial"/>
        <family val="2"/>
      </rPr>
      <t>FB2</t>
    </r>
    <r>
      <rPr>
        <sz val="10"/>
        <rFont val="Arial"/>
        <family val="2"/>
      </rPr>
      <t xml:space="preserve"> =</t>
    </r>
  </si>
  <si>
    <t>2. A TVS clamp from VIN to GND is absolutely mandatory to clamp the voltage overshoot upon MOSFET turn-off, e.g. during circuit breaker</t>
  </si>
  <si>
    <r>
      <rPr>
        <sz val="11"/>
        <color theme="1"/>
        <rFont val="Arial"/>
        <family val="2"/>
      </rPr>
      <t>R</t>
    </r>
    <r>
      <rPr>
        <vertAlign val="subscript"/>
        <sz val="11"/>
        <color theme="1"/>
        <rFont val="Arial"/>
        <family val="2"/>
      </rPr>
      <t>S</t>
    </r>
    <r>
      <rPr>
        <sz val="11"/>
        <color theme="1"/>
        <rFont val="Arial"/>
        <family val="2"/>
      </rPr>
      <t xml:space="preserve"> =</t>
    </r>
  </si>
  <si>
    <r>
      <t>Minimum Input Operating Voltage: V</t>
    </r>
    <r>
      <rPr>
        <vertAlign val="subscript"/>
        <sz val="10"/>
        <rFont val="Arial"/>
        <family val="2"/>
      </rPr>
      <t>IN(MIN)</t>
    </r>
  </si>
  <si>
    <r>
      <t>Maximum Input Operating Voltage: V</t>
    </r>
    <r>
      <rPr>
        <vertAlign val="subscript"/>
        <sz val="10"/>
        <rFont val="Arial"/>
        <family val="2"/>
      </rPr>
      <t>IN(MAX)</t>
    </r>
  </si>
  <si>
    <r>
      <t>Maximum Power Dissipation in R</t>
    </r>
    <r>
      <rPr>
        <vertAlign val="subscript"/>
        <sz val="10"/>
        <rFont val="Arial"/>
        <family val="2"/>
      </rPr>
      <t>S</t>
    </r>
  </si>
  <si>
    <r>
      <t>I</t>
    </r>
    <r>
      <rPr>
        <b/>
        <vertAlign val="subscript"/>
        <sz val="10"/>
        <rFont val="Arial"/>
        <family val="2"/>
      </rPr>
      <t>D</t>
    </r>
  </si>
  <si>
    <r>
      <t>Enter the Resistance for R</t>
    </r>
    <r>
      <rPr>
        <vertAlign val="subscript"/>
        <sz val="10"/>
        <rFont val="Arial"/>
        <family val="2"/>
      </rPr>
      <t>PG</t>
    </r>
  </si>
  <si>
    <t>Desired PGD Rising Threshold</t>
  </si>
  <si>
    <t>Desired PGD Hysteresis</t>
  </si>
  <si>
    <t>Ramp time for output voltage</t>
  </si>
  <si>
    <t>Nominal output voltage</t>
  </si>
  <si>
    <t>Required soft-start capacitance</t>
  </si>
  <si>
    <t>nF</t>
  </si>
  <si>
    <r>
      <t>Nominal Input Operating Voltage: V</t>
    </r>
    <r>
      <rPr>
        <vertAlign val="subscript"/>
        <sz val="10"/>
        <rFont val="Arial"/>
        <family val="2"/>
      </rPr>
      <t>IN(NOM)</t>
    </r>
  </si>
  <si>
    <r>
      <t>Maximum Ambient Operating Temperature: T</t>
    </r>
    <r>
      <rPr>
        <vertAlign val="subscript"/>
        <sz val="10"/>
        <rFont val="Arial"/>
        <family val="2"/>
      </rPr>
      <t>MAX</t>
    </r>
  </si>
  <si>
    <r>
      <t>Maximum Load Current: I</t>
    </r>
    <r>
      <rPr>
        <vertAlign val="subscript"/>
        <sz val="10"/>
        <rFont val="Arial"/>
        <family val="2"/>
      </rPr>
      <t>OUT(MAX)</t>
    </r>
  </si>
  <si>
    <t>Step 3: MOSFET Selection</t>
  </si>
  <si>
    <t>Number of MosFETs</t>
  </si>
  <si>
    <t>#</t>
  </si>
  <si>
    <r>
      <rPr>
        <vertAlign val="superscript"/>
        <sz val="10"/>
        <rFont val="Arial"/>
        <family val="2"/>
      </rPr>
      <t>o</t>
    </r>
    <r>
      <rPr>
        <sz val="10"/>
        <rFont val="Arial"/>
        <family val="2"/>
      </rPr>
      <t>C</t>
    </r>
  </si>
  <si>
    <r>
      <rPr>
        <vertAlign val="superscript"/>
        <sz val="10"/>
        <rFont val="Arial"/>
        <family val="2"/>
      </rPr>
      <t>o</t>
    </r>
    <r>
      <rPr>
        <sz val="10"/>
        <rFont val="Arial"/>
        <family val="2"/>
      </rPr>
      <t>C/W</t>
    </r>
  </si>
  <si>
    <t>Maximum FET Junction Temperature</t>
  </si>
  <si>
    <t>100ms SOA Current Maximum Input Voltage</t>
  </si>
  <si>
    <t>1ms SOA Current Maximum Input Voltage</t>
  </si>
  <si>
    <t>10ms SOA Current Maximum Input Voltage</t>
  </si>
  <si>
    <t>100ms or DC SOA Current at Maximum Input Voltage</t>
  </si>
  <si>
    <t>Current Limit</t>
  </si>
  <si>
    <t>Step 4: Startup</t>
  </si>
  <si>
    <t>Startup Load Type</t>
  </si>
  <si>
    <t>Startup Load Value</t>
  </si>
  <si>
    <t>Constant Current</t>
  </si>
  <si>
    <t>Resistive</t>
  </si>
  <si>
    <t>Vout</t>
  </si>
  <si>
    <t>ILOAD</t>
  </si>
  <si>
    <t xml:space="preserve">Start-up slop </t>
  </si>
  <si>
    <t>QG</t>
  </si>
  <si>
    <t>I_Src</t>
  </si>
  <si>
    <t>RMS</t>
  </si>
  <si>
    <t>PLIM</t>
  </si>
  <si>
    <t>combined</t>
  </si>
  <si>
    <t>I_timer</t>
  </si>
  <si>
    <t>C_timer</t>
  </si>
  <si>
    <t>Final</t>
  </si>
  <si>
    <t>Step 1: Operating Conditions</t>
  </si>
  <si>
    <t>Time</t>
  </si>
  <si>
    <t>Startup</t>
  </si>
  <si>
    <t>FET Selection</t>
  </si>
  <si>
    <t>Nominal</t>
  </si>
  <si>
    <t>Derated at TJ</t>
  </si>
  <si>
    <t>Operating Conditions</t>
  </si>
  <si>
    <t>Input Voltage</t>
  </si>
  <si>
    <t>Threshold Voltage CL = GND</t>
  </si>
  <si>
    <t>Threshold Voltage CL = VDD</t>
  </si>
  <si>
    <t>Sense input Current</t>
  </si>
  <si>
    <t>Units</t>
  </si>
  <si>
    <t>uA</t>
  </si>
  <si>
    <t>Circuit Breaker</t>
  </si>
  <si>
    <t>Timer</t>
  </si>
  <si>
    <t>Upper Threshold</t>
  </si>
  <si>
    <t>Insertion Time Current</t>
  </si>
  <si>
    <t>Fault detection current</t>
  </si>
  <si>
    <t>ICAP</t>
  </si>
  <si>
    <t>Junction Temperature</t>
  </si>
  <si>
    <t>VIN</t>
  </si>
  <si>
    <t>Power Limit</t>
  </si>
  <si>
    <t>mV</t>
  </si>
  <si>
    <t>Minimum Power Limit=</t>
  </si>
  <si>
    <t>Look Up</t>
  </si>
  <si>
    <t>1ms</t>
  </si>
  <si>
    <t>10ms</t>
  </si>
  <si>
    <t>100ms</t>
  </si>
  <si>
    <t>Final SOA</t>
  </si>
  <si>
    <t>time</t>
  </si>
  <si>
    <t>Voltage</t>
  </si>
  <si>
    <t>Lower time</t>
  </si>
  <si>
    <t>Higher timer</t>
  </si>
  <si>
    <t>I (lower time)</t>
  </si>
  <si>
    <t>I (higher time)</t>
  </si>
  <si>
    <t>a</t>
  </si>
  <si>
    <t>m</t>
  </si>
  <si>
    <t>Extr. I</t>
  </si>
  <si>
    <t>Assuming Power vs time is linear on a log-log plot</t>
  </si>
  <si>
    <r>
      <rPr>
        <vertAlign val="superscript"/>
        <sz val="10"/>
        <rFont val="Arial"/>
        <family val="2"/>
      </rPr>
      <t>o</t>
    </r>
    <r>
      <rPr>
        <sz val="10"/>
        <rFont val="Arial"/>
        <family val="2"/>
      </rPr>
      <t>C</t>
    </r>
  </si>
  <si>
    <t>Interpolated Power=</t>
  </si>
  <si>
    <t xml:space="preserve">Max Power with Temp Derating = </t>
  </si>
  <si>
    <t>Load Turn-On Threshold</t>
  </si>
  <si>
    <t>a = iSOA1/tSOA1^m</t>
  </si>
  <si>
    <t>m = log(iSOA1/iSOA2)/log(tSOA1/tSOA2)</t>
  </si>
  <si>
    <t>I = a * t^m</t>
  </si>
  <si>
    <t>Derating factor =</t>
  </si>
  <si>
    <t>No</t>
  </si>
  <si>
    <t>Use External Soft-Start Control</t>
  </si>
  <si>
    <t>Yes</t>
  </si>
  <si>
    <t>Gate</t>
  </si>
  <si>
    <t>Resulting Typical Insertion Delay Time</t>
  </si>
  <si>
    <r>
      <t>Use External Resistor Divider to Reduce Effecitve R</t>
    </r>
    <r>
      <rPr>
        <vertAlign val="subscript"/>
        <sz val="10"/>
        <rFont val="Arial"/>
        <family val="2"/>
      </rPr>
      <t>S</t>
    </r>
  </si>
  <si>
    <t>V/S</t>
  </si>
  <si>
    <t>Gate Sourcing Current</t>
  </si>
  <si>
    <t>Recommended Value for RCL1</t>
  </si>
  <si>
    <t>Recommended Value for RCL2</t>
  </si>
  <si>
    <t>Enter value for RCL1</t>
  </si>
  <si>
    <t>Enter value for RCL2</t>
  </si>
  <si>
    <t>CLMAX =</t>
  </si>
  <si>
    <t xml:space="preserve">CLNOM = </t>
  </si>
  <si>
    <t>CLMIN =</t>
  </si>
  <si>
    <t>If any of the above cells is red, see the  Instrunctions Worksheet</t>
  </si>
  <si>
    <t>RCL1 Recommended  =</t>
  </si>
  <si>
    <t>RCL2 Recommmended =</t>
  </si>
  <si>
    <t>Effective Rs =</t>
  </si>
  <si>
    <t>Step 5: UVLO, OVLO &amp; PGD Thresholds</t>
  </si>
  <si>
    <r>
      <t>C</t>
    </r>
    <r>
      <rPr>
        <vertAlign val="subscript"/>
        <sz val="10"/>
        <rFont val="Arial"/>
        <family val="2"/>
      </rPr>
      <t>VDD</t>
    </r>
    <r>
      <rPr>
        <sz val="10"/>
        <rFont val="Arial"/>
        <family val="2"/>
      </rPr>
      <t xml:space="preserve"> =</t>
    </r>
  </si>
  <si>
    <r>
      <t>C</t>
    </r>
    <r>
      <rPr>
        <vertAlign val="subscript"/>
        <sz val="10"/>
        <rFont val="Arial"/>
        <family val="2"/>
      </rPr>
      <t>VREF</t>
    </r>
    <r>
      <rPr>
        <sz val="10"/>
        <rFont val="Arial"/>
        <family val="2"/>
      </rPr>
      <t xml:space="preserve"> =</t>
    </r>
  </si>
  <si>
    <r>
      <t>R</t>
    </r>
    <r>
      <rPr>
        <vertAlign val="subscript"/>
        <sz val="11"/>
        <color theme="1"/>
        <rFont val="Arial"/>
        <family val="2"/>
      </rPr>
      <t>CL1</t>
    </r>
    <r>
      <rPr>
        <sz val="11"/>
        <color theme="1"/>
        <rFont val="Arial"/>
        <family val="2"/>
      </rPr>
      <t xml:space="preserve"> =</t>
    </r>
  </si>
  <si>
    <r>
      <t>R</t>
    </r>
    <r>
      <rPr>
        <vertAlign val="subscript"/>
        <sz val="11"/>
        <color theme="1"/>
        <rFont val="Arial"/>
        <family val="2"/>
      </rPr>
      <t>CL2</t>
    </r>
    <r>
      <rPr>
        <sz val="11"/>
        <color theme="1"/>
        <rFont val="Arial"/>
        <family val="2"/>
      </rPr>
      <t xml:space="preserve"> =</t>
    </r>
  </si>
  <si>
    <t>Design Summary</t>
  </si>
  <si>
    <t>Current limit</t>
  </si>
  <si>
    <t>Startup Time</t>
  </si>
  <si>
    <t>Insertion Delay</t>
  </si>
  <si>
    <t>Fault Timeout</t>
  </si>
  <si>
    <t>Restart Time During Fault</t>
  </si>
  <si>
    <t>Upper UVLO Threshold</t>
  </si>
  <si>
    <t>Lower OVLO Threshold</t>
  </si>
  <si>
    <t>Lower UVLO Threshold</t>
  </si>
  <si>
    <t>Upper OVLO Threshold</t>
  </si>
  <si>
    <t>PGD Hystersis</t>
  </si>
  <si>
    <t>Circuit Breaker Current</t>
  </si>
  <si>
    <t>PGD Threshold</t>
  </si>
  <si>
    <t>100us</t>
  </si>
  <si>
    <t>Step 2: Current Limit and Circuit Breaker</t>
  </si>
  <si>
    <t>Circuit Breaker to Current Limit Raitio</t>
  </si>
  <si>
    <r>
      <t>Enter Resistance for: R</t>
    </r>
    <r>
      <rPr>
        <vertAlign val="subscript"/>
        <sz val="10"/>
        <rFont val="Arial"/>
        <family val="2"/>
      </rPr>
      <t>FB1</t>
    </r>
  </si>
  <si>
    <t>3.6 x Current Limit</t>
  </si>
  <si>
    <t>1.8 x Current Limit</t>
  </si>
  <si>
    <t>1.8 x Threshold</t>
  </si>
  <si>
    <t>1.8x CB:CL Ratio</t>
  </si>
  <si>
    <t>3.6 x Threshold</t>
  </si>
  <si>
    <t>3.6x CB:CL Ratio</t>
  </si>
  <si>
    <r>
      <t>Maximum Output Load Capacitance: C</t>
    </r>
    <r>
      <rPr>
        <vertAlign val="subscript"/>
        <sz val="10"/>
        <rFont val="Arial"/>
        <family val="2"/>
      </rPr>
      <t>LOAD</t>
    </r>
  </si>
  <si>
    <t>Connect CB Pin to</t>
  </si>
  <si>
    <t>Connect CL Pin to</t>
  </si>
  <si>
    <t>Nominal PGD Rising Threhold</t>
  </si>
  <si>
    <t>Nominal PGD Hysteresis</t>
  </si>
  <si>
    <t>Connect /Retry to</t>
  </si>
  <si>
    <t>Min Insertion time =</t>
  </si>
  <si>
    <t>Max Insertion time =</t>
  </si>
  <si>
    <t xml:space="preserve">Min Restart time = </t>
  </si>
  <si>
    <t>Timer Pin</t>
  </si>
  <si>
    <t>Lower Threshold (Restart)</t>
  </si>
  <si>
    <t>End of Cycle</t>
  </si>
  <si>
    <t>Re-enable threshold</t>
  </si>
  <si>
    <t>Insertion time current</t>
  </si>
  <si>
    <t>Sink current, end of insertion</t>
  </si>
  <si>
    <t>Fault sink current</t>
  </si>
  <si>
    <t>Fault Response</t>
  </si>
  <si>
    <t>Retry</t>
  </si>
  <si>
    <t>Latch Off</t>
  </si>
  <si>
    <t>Power Good</t>
  </si>
  <si>
    <t>PGVOL</t>
  </si>
  <si>
    <t>mA sinking</t>
  </si>
  <si>
    <t>FB Pin</t>
  </si>
  <si>
    <t>FB Threshold</t>
  </si>
  <si>
    <t>FB Hysteresis Current</t>
  </si>
  <si>
    <t>Max PG Threshold =</t>
  </si>
  <si>
    <t>Nom PG Threshold =</t>
  </si>
  <si>
    <t>Min PG Threshold =</t>
  </si>
  <si>
    <t>Max Restart time =</t>
  </si>
  <si>
    <t>Min PG Hysteresis =</t>
  </si>
  <si>
    <t>Nom PG Hysteresis =</t>
  </si>
  <si>
    <t>Max PG Hysteresis =</t>
  </si>
  <si>
    <t>3. Componet tolerances not accounted for in Min/Max Calculations.</t>
  </si>
  <si>
    <t>Recommended Resistance for:  R1</t>
  </si>
  <si>
    <r>
      <t>Recommended Resistance for:  R</t>
    </r>
    <r>
      <rPr>
        <vertAlign val="subscript"/>
        <sz val="10"/>
        <rFont val="Arial"/>
        <family val="2"/>
      </rPr>
      <t>FB1</t>
    </r>
  </si>
  <si>
    <r>
      <t>Estimated MOSFET R</t>
    </r>
    <r>
      <rPr>
        <sz val="10"/>
        <rFont val="Symbol"/>
        <family val="1"/>
        <charset val="2"/>
      </rPr>
      <t>Q</t>
    </r>
    <r>
      <rPr>
        <vertAlign val="subscript"/>
        <sz val="10"/>
        <rFont val="Arial"/>
        <family val="2"/>
      </rPr>
      <t>JA</t>
    </r>
  </si>
  <si>
    <t>Values Used</t>
  </si>
  <si>
    <t xml:space="preserve"> </t>
  </si>
  <si>
    <t>Current Limit Range (CL)</t>
  </si>
  <si>
    <r>
      <t>Effective Sense Resistance (R</t>
    </r>
    <r>
      <rPr>
        <vertAlign val="subscript"/>
        <sz val="10"/>
        <rFont val="Arial"/>
        <family val="2"/>
      </rPr>
      <t>S,EFF</t>
    </r>
    <r>
      <rPr>
        <sz val="10"/>
        <rFont val="Arial"/>
        <family val="2"/>
      </rPr>
      <t>)</t>
    </r>
  </si>
  <si>
    <t>Maximum Recommended Value for Effective Sense Resistance</t>
  </si>
  <si>
    <r>
      <t>Maximum steady state FET Junction Temperature (T</t>
    </r>
    <r>
      <rPr>
        <vertAlign val="subscript"/>
        <sz val="10"/>
        <rFont val="Arial"/>
        <family val="2"/>
      </rPr>
      <t>J,DC</t>
    </r>
    <r>
      <rPr>
        <sz val="10"/>
        <rFont val="Arial"/>
        <family val="2"/>
      </rPr>
      <t>)</t>
    </r>
  </si>
  <si>
    <r>
      <t>MOSFET On resistance @ T</t>
    </r>
    <r>
      <rPr>
        <vertAlign val="subscript"/>
        <sz val="10"/>
        <rFont val="Arial"/>
        <family val="2"/>
      </rPr>
      <t>J,DC</t>
    </r>
  </si>
  <si>
    <t>Systematic Offset</t>
  </si>
  <si>
    <t>Minimum Recommended Vsns</t>
  </si>
  <si>
    <t>&lt;= I am assuming this would have +/- 50% error at best</t>
  </si>
  <si>
    <t>A_coeff</t>
  </si>
  <si>
    <t>Vsns = Rpwr / (A*Vds) + Vos,syst</t>
  </si>
  <si>
    <t>Plim (Vds) = 1/Rs * [ Rpwr/A + Vds * Vos, syst]</t>
  </si>
  <si>
    <t xml:space="preserve">Example: </t>
  </si>
  <si>
    <t>Rpwr</t>
  </si>
  <si>
    <t>Plim</t>
  </si>
  <si>
    <t>Rsns (m-ohm)</t>
  </si>
  <si>
    <t>Vsns (mV)</t>
  </si>
  <si>
    <t>Rpwr =  A * [PLIM(Vds) * Rs - Vds*Vos,syst]</t>
  </si>
  <si>
    <t xml:space="preserve">Key Equations: </t>
  </si>
  <si>
    <t>How Plim varries vs Vds:</t>
  </si>
  <si>
    <t>Plim (Vds) = Plim (Vin,max) + (Vds - Vin,max)*Vos,syst/Rs</t>
  </si>
  <si>
    <t>Ex: Plim @ 13V = 100W, Rs = 0.5; Plim @ (Vds = 5V) = 100W - 7V * 1mV/0.5mili-ohm = 100W - 14W = 86W</t>
  </si>
  <si>
    <t>Target Power Limit</t>
  </si>
  <si>
    <r>
      <t>Calculated R</t>
    </r>
    <r>
      <rPr>
        <vertAlign val="subscript"/>
        <sz val="10"/>
        <rFont val="Arial"/>
        <family val="2"/>
      </rPr>
      <t>PWR</t>
    </r>
  </si>
  <si>
    <t>Target PLIM</t>
  </si>
  <si>
    <t>k-ohm</t>
  </si>
  <si>
    <r>
      <t>Actual R</t>
    </r>
    <r>
      <rPr>
        <vertAlign val="subscript"/>
        <sz val="10"/>
        <rFont val="Arial"/>
        <family val="2"/>
      </rPr>
      <t>PWR</t>
    </r>
  </si>
  <si>
    <t>Rpwr actual</t>
  </si>
  <si>
    <t>Final Plim</t>
  </si>
  <si>
    <t>Actual PLIM</t>
  </si>
  <si>
    <t>ILIM</t>
  </si>
  <si>
    <t>Load type</t>
  </si>
  <si>
    <t>Load Value</t>
  </si>
  <si>
    <t>Load start</t>
  </si>
  <si>
    <t>Rs</t>
  </si>
  <si>
    <t>Vos,syst</t>
  </si>
  <si>
    <r>
      <rPr>
        <b/>
        <u/>
        <sz val="10"/>
        <rFont val="Symbol"/>
        <family val="1"/>
        <charset val="2"/>
      </rPr>
      <t>D</t>
    </r>
    <r>
      <rPr>
        <b/>
        <u/>
        <sz val="10"/>
        <rFont val="Arial"/>
        <family val="2"/>
      </rPr>
      <t>t</t>
    </r>
  </si>
  <si>
    <t>IFET</t>
  </si>
  <si>
    <t>I_Fet-IL margin</t>
  </si>
  <si>
    <t>Start-time</t>
  </si>
  <si>
    <t>I_fet-I_L margin</t>
  </si>
  <si>
    <t>Slop for calculations</t>
  </si>
  <si>
    <t>Note: We get additional buffer, b/c this is designed for a Vinmax, while typically Vin = Vinnom</t>
  </si>
  <si>
    <t>&lt;= mean root square(T_start_error_Plim, timer_error, cap_error); T_start proportional to 1/Plim =&gt; T_start_error_plim = 1/(1-Plim_err) - 1 = 1/(1-0.4) - 1 = 0.66</t>
  </si>
  <si>
    <t>Computed Start - Up Slop</t>
  </si>
  <si>
    <t>Typical Start Time with Vinmax (Tstart)</t>
  </si>
  <si>
    <t>Target Fault Timer: Tstart + Margin</t>
  </si>
  <si>
    <t>Typical Start time</t>
  </si>
  <si>
    <t>Start-slop</t>
  </si>
  <si>
    <t>Target Fault Timer</t>
  </si>
  <si>
    <t>Target Timer capacitance</t>
  </si>
  <si>
    <t>Selected Timer capacitance</t>
  </si>
  <si>
    <t>IFET - ILOAD margin (lowest for Vout range)</t>
  </si>
  <si>
    <t xml:space="preserve">Selected Timer capacitance </t>
  </si>
  <si>
    <t>Final Fault Timer</t>
  </si>
  <si>
    <t>Note: I added an adjustment for the systematic offset</t>
  </si>
  <si>
    <t>Vos syst</t>
  </si>
  <si>
    <t>Rs (ohm)</t>
  </si>
  <si>
    <t>Vin, max</t>
  </si>
  <si>
    <t>Plim tolerance</t>
  </si>
  <si>
    <t>Temp Derated SOA</t>
  </si>
  <si>
    <t>Derated SOA / PLIM</t>
  </si>
  <si>
    <t>SOA / PLIM</t>
  </si>
  <si>
    <t>IFET_PLIM</t>
  </si>
  <si>
    <t>I_FET_SS</t>
  </si>
  <si>
    <t>SS</t>
  </si>
  <si>
    <t>FET Power dissapation at full load (per FET)</t>
  </si>
  <si>
    <t>With PLIM</t>
  </si>
  <si>
    <t>dv/dt rate</t>
  </si>
  <si>
    <t>V/ms</t>
  </si>
  <si>
    <t>I_Cout</t>
  </si>
  <si>
    <t>46 mV</t>
  </si>
  <si>
    <t>With SS</t>
  </si>
  <si>
    <t>To avoid timer running: Iload + Icap,ss &lt; IFET_PLIM / 2 =&gt; SS_RATE &lt; 1/Cout * (IFET_PLIM/2 - ILOAD)</t>
  </si>
  <si>
    <t>Max_SS_Rate</t>
  </si>
  <si>
    <t>FET_ENERGY</t>
  </si>
  <si>
    <t>J</t>
  </si>
  <si>
    <t>Max _allowed SS_rate</t>
  </si>
  <si>
    <t>Power (W)</t>
  </si>
  <si>
    <t>P_ fast_SS</t>
  </si>
  <si>
    <t>P_slow_SS</t>
  </si>
  <si>
    <t>I_g(hi/nom)</t>
  </si>
  <si>
    <t>I_g(low/nom)</t>
  </si>
  <si>
    <t>max_power_typ</t>
  </si>
  <si>
    <t>max_power_low</t>
  </si>
  <si>
    <t>max_power_high</t>
  </si>
  <si>
    <t>typical start time</t>
  </si>
  <si>
    <t>FET Energy dissipated at start-up (EFET)</t>
  </si>
  <si>
    <t>Peak Power dissipated  during start-up (PFET)</t>
  </si>
  <si>
    <t>Equivalent time at peak power - EFET/PFET (t_power)</t>
  </si>
  <si>
    <t>Available SOA for t_power at Vinmax</t>
  </si>
  <si>
    <t>SOA margin</t>
  </si>
  <si>
    <t>SOA Predictor - dv/dt start-up</t>
  </si>
  <si>
    <t>calculated SS capacitance</t>
  </si>
  <si>
    <t>actual SS capacitance</t>
  </si>
  <si>
    <t>actual dv/dt rate</t>
  </si>
  <si>
    <t>Target Fault Time</t>
  </si>
  <si>
    <t xml:space="preserve">Calculated Timer Capacitance </t>
  </si>
  <si>
    <t>Actual Timer Capacitance</t>
  </si>
  <si>
    <t>SOA margin during start-up</t>
  </si>
  <si>
    <t>Covering hot-short, start-into short for SS</t>
  </si>
  <si>
    <t>Available derated SOA for Tfault</t>
  </si>
  <si>
    <t>Actual Fault Time (Tfault)</t>
  </si>
  <si>
    <t>dv/dt rate on Vout</t>
  </si>
  <si>
    <t>actual dv/dt rate on Vout</t>
  </si>
  <si>
    <t>SOA Check - Based on Timer</t>
  </si>
  <si>
    <t>Final Fault Timer(Tfault)</t>
  </si>
  <si>
    <t>SOA margin during "hot-short" or "start-into short"</t>
  </si>
  <si>
    <t>timer_constant</t>
  </si>
  <si>
    <t>Enter Values in Green Shaded Cells</t>
  </si>
  <si>
    <t>1s/DC</t>
  </si>
  <si>
    <t>Can a "hot" board be hotplugged</t>
  </si>
  <si>
    <t>Temp for derating</t>
  </si>
  <si>
    <t>board hot?</t>
  </si>
  <si>
    <t>FET_Energy</t>
  </si>
  <si>
    <t>Tiime (ms)</t>
  </si>
  <si>
    <t>Recommended slew Rate (max)</t>
  </si>
  <si>
    <t>Recommended slew Rate (min)</t>
  </si>
  <si>
    <r>
      <t>100</t>
    </r>
    <r>
      <rPr>
        <sz val="10"/>
        <rFont val="Symbol"/>
        <family val="1"/>
        <charset val="2"/>
      </rPr>
      <t>m</t>
    </r>
    <r>
      <rPr>
        <sz val="10"/>
        <rFont val="Arial"/>
        <family val="2"/>
      </rPr>
      <t>s SOA Current (re-use 1ms data if unavailable) @ V</t>
    </r>
    <r>
      <rPr>
        <vertAlign val="subscript"/>
        <sz val="10"/>
        <rFont val="Arial"/>
        <family val="2"/>
      </rPr>
      <t>IN(MAX)</t>
    </r>
  </si>
  <si>
    <r>
      <t>1ms SOA Current @ V</t>
    </r>
    <r>
      <rPr>
        <vertAlign val="subscript"/>
        <sz val="10"/>
        <rFont val="Arial"/>
        <family val="2"/>
      </rPr>
      <t>IN(MAX)</t>
    </r>
  </si>
  <si>
    <r>
      <t>10ms SOA Current @ V</t>
    </r>
    <r>
      <rPr>
        <vertAlign val="subscript"/>
        <sz val="10"/>
        <rFont val="Arial"/>
        <family val="2"/>
      </rPr>
      <t>IN(MAX)</t>
    </r>
  </si>
  <si>
    <r>
      <t>100ms  Current at @ V</t>
    </r>
    <r>
      <rPr>
        <vertAlign val="subscript"/>
        <sz val="10"/>
        <rFont val="Arial"/>
        <family val="2"/>
      </rPr>
      <t>IN(MAX)</t>
    </r>
    <r>
      <rPr>
        <sz val="10"/>
        <rFont val="Arial"/>
        <family val="2"/>
      </rPr>
      <t xml:space="preserve"> (use DC if 100ms not available)</t>
    </r>
  </si>
  <si>
    <r>
      <t>1s or DC SOA Current at @ V</t>
    </r>
    <r>
      <rPr>
        <vertAlign val="subscript"/>
        <sz val="10"/>
        <rFont val="Arial"/>
        <family val="2"/>
      </rPr>
      <t>IN(MAX)</t>
    </r>
    <r>
      <rPr>
        <sz val="10"/>
        <rFont val="Arial"/>
        <family val="2"/>
      </rPr>
      <t xml:space="preserve"> (use DC if 1s not available)</t>
    </r>
  </si>
  <si>
    <t xml:space="preserve">Key Equations for SOA margin estimate: </t>
  </si>
  <si>
    <t>1) Get total Energy = 1/2 CV^2 + E_load (t_worksheet) * t_start / t_ worksheet</t>
  </si>
  <si>
    <t xml:space="preserve">     note:  t_worksheet is the start time from the start-up worksheet.  E_load = Total Energy @ Start-up - 1/2CV^2</t>
  </si>
  <si>
    <t>2) Get peak power:  4 Possible points with peak power</t>
  </si>
  <si>
    <t>Cap Energy (J)</t>
  </si>
  <si>
    <t>slew rate (V/ms)</t>
  </si>
  <si>
    <t>E_load (t_worksheet)  (J)</t>
  </si>
  <si>
    <t>t_worksheet (ms)</t>
  </si>
  <si>
    <t>t_start (ms)</t>
  </si>
  <si>
    <t>I_cap (A)</t>
  </si>
  <si>
    <t>Total FET Energy (J)</t>
  </si>
  <si>
    <t>Power (load on), (W)</t>
  </si>
  <si>
    <t>SOA margin target</t>
  </si>
  <si>
    <t>Power (Vout= 0) , (W)</t>
  </si>
  <si>
    <t xml:space="preserve">                </t>
  </si>
  <si>
    <t xml:space="preserve"> P = (I_cap + Vout/R ) * (Vin - Vout) = Icap * Vin - Icap * Vout +Vin * Vout / R - Vout^2 / R </t>
  </si>
  <si>
    <t>Vout (dP/dVout = 0) (V)</t>
  </si>
  <si>
    <t xml:space="preserve"> =&gt;  dP/dVout =  -Icap + Vin/R -2Vout /R ;  Zero when Vout = -R*I_cap / 2 + Vin / 2</t>
  </si>
  <si>
    <t xml:space="preserve">Power (@ Vout above, if applicable) </t>
  </si>
  <si>
    <t>max power (W)</t>
  </si>
  <si>
    <t>Equivalent time for SOA (ms)</t>
  </si>
  <si>
    <t>SOA Coefficients</t>
  </si>
  <si>
    <t>0.1 to 1 ms</t>
  </si>
  <si>
    <t>1 to 10ms</t>
  </si>
  <si>
    <t>10ms to 100 ms</t>
  </si>
  <si>
    <t>100 ms to 1s</t>
  </si>
  <si>
    <t>t1</t>
  </si>
  <si>
    <t>t2</t>
  </si>
  <si>
    <t>Available SOA (W)</t>
  </si>
  <si>
    <t>Derated for Temp</t>
  </si>
  <si>
    <t>Temp_start_up</t>
  </si>
  <si>
    <t>SOA Margin</t>
  </si>
  <si>
    <t>Copied Inputs</t>
  </si>
  <si>
    <t># of points</t>
  </si>
  <si>
    <t>mult per point</t>
  </si>
  <si>
    <t xml:space="preserve">Pass? </t>
  </si>
  <si>
    <t>first yes</t>
  </si>
  <si>
    <t>2nd yes</t>
  </si>
  <si>
    <t>N</t>
  </si>
  <si>
    <t>Mult 1</t>
  </si>
  <si>
    <t>mult2</t>
  </si>
  <si>
    <t xml:space="preserve">max slew rate </t>
  </si>
  <si>
    <t>min slew rate</t>
  </si>
  <si>
    <t>Initial</t>
  </si>
  <si>
    <t xml:space="preserve">Yellow and Red cells highlight pottential issues with the design. Red highlights items that are higher risk. </t>
  </si>
  <si>
    <r>
      <t>Actual Timer Capacitance (pick one smaller than C</t>
    </r>
    <r>
      <rPr>
        <vertAlign val="subscript"/>
        <sz val="10"/>
        <rFont val="Arial"/>
        <family val="2"/>
      </rPr>
      <t>T,CALC</t>
    </r>
    <r>
      <rPr>
        <sz val="10"/>
        <rFont val="Arial"/>
        <family val="2"/>
      </rPr>
      <t xml:space="preserve">) </t>
    </r>
  </si>
  <si>
    <t>Typical design procedure</t>
  </si>
  <si>
    <t>Typical applications require multiple passes through the design tool using MOSFET factors such as transient</t>
  </si>
  <si>
    <t>thermal response and safe operating area curves. Refer to the following application reports for more detail.</t>
  </si>
  <si>
    <t>The basic design process follows:</t>
  </si>
  <si>
    <t>1. Enter operating conditions.</t>
  </si>
  <si>
    <t>2. Select current limit parameters.</t>
  </si>
  <si>
    <t>3. Enter MOSTFET SOA characteristics &amp; power limit.</t>
  </si>
  <si>
    <t>4. Select start up conditions (load and/or soft start). Check whether FET is operating with reasonable margin, within the SOA curve.</t>
  </si>
  <si>
    <t xml:space="preserve">    If not, try changing start-up conditions (soft start values, timer values), add more FETs in parallel, or switch to FET with better SOA.</t>
  </si>
  <si>
    <t>5. Enter desired UVLO and OVLO values to get recommended resistor values.</t>
  </si>
  <si>
    <t>6. Done</t>
  </si>
  <si>
    <t>Notes</t>
  </si>
  <si>
    <t>1. This worksheet is designed for use with Microsoft Excel 5.0 or later.  Its use is intended to assist power supply designers in their</t>
  </si>
  <si>
    <t xml:space="preserve">routine, day-to-day calculations.  </t>
  </si>
  <si>
    <t>2. All worksheets have light green inputs cells, white calculated cells, yellow warning cells and red high-risk cells.</t>
  </si>
  <si>
    <t>3. Formulas and device constants used in the spreadsheet are locked to prohibit them from accidentally being overwritten or deleted.</t>
  </si>
  <si>
    <t>LM25066 Datasheet (See "Design-In Procedure")</t>
  </si>
  <si>
    <t>Note: TI recommends choosing a FET with SOA current specified for 100ms and/or 1s or DC. If choosing a FET without these parameters, this calculator will estimate the values via extrapolation, which leaves an inherent associated risk.</t>
  </si>
  <si>
    <t>Q1 FET Name</t>
  </si>
  <si>
    <t>Lower time (adjusted)</t>
  </si>
  <si>
    <t>Higher time</t>
  </si>
  <si>
    <t>Higher time (adjusted)</t>
  </si>
  <si>
    <t>Upper bound Slew Rate (4ms start-up) (V/ms)</t>
  </si>
  <si>
    <t>Min Slew Rate (400 ms start - up) (V/ms)</t>
  </si>
  <si>
    <t xml:space="preserve">      a) At Vin = 0 [mainly if there is no load or constant current load that starts at Vout = 0=</t>
  </si>
  <si>
    <t xml:space="preserve">      b) At Vin = Load start [ constant current=</t>
  </si>
  <si>
    <t xml:space="preserve">      c) When derivative of power = 0  [Peak, applies to resistive loads only=</t>
  </si>
  <si>
    <t>&lt;-- Cannot plot zero on a log graph. If slope ~=0, then use 1e-12 as value</t>
  </si>
  <si>
    <t>MMBT3904</t>
  </si>
  <si>
    <t>MOSFET's SOA</t>
  </si>
  <si>
    <r>
      <t xml:space="preserve">                       </t>
    </r>
    <r>
      <rPr>
        <sz val="22"/>
        <color theme="0"/>
        <rFont val="Arial"/>
        <family val="2"/>
      </rPr>
      <t>LM25066/I/A/IA PMBus Hot Swap Design Tool</t>
    </r>
  </si>
  <si>
    <t>Note: This is the typical dv/dt rate, but max value can be larger. This is because the gate source current can vary from 16uA to 28uA. Thus TI recommends keeping the overall SOA margin during start-up &gt;1.5 in order to compensate for this.</t>
  </si>
  <si>
    <t xml:space="preserve">TEXAS INSTRUMENTS TEXT FILE LICENSE
Copyright (c) 2014 Texas Instruments Incorporated
All rights reserved not granted herein.
Limited License.  
Texas Instruments Incorporated grants a world-wide, royalty-free, non-exclusive license under copyrights and patents it now or hereafter owns or controls to make, have made, use, import, offer to sell and sell ("Utilize") this software subject to the terms herein.  With respect to the foregoing patent license, such license is granted  solely to the extent that any such patent is necessary to Utilize the software alone.  The patent license shall not apply to any combinations which include this software, other than combinations with devices manufactured by or for TI (“TI Devices”).  No hardware patent is licensed hereunder.
Redistributions must preserve existing copyright notices and reproduce this license (including the above copyright notice and the disclaimer and (if applicable) source code license limitations below) in the documentation and/or other materials provided with the distribution
Redistribution and use in binary form, without modification, are permitted provided that the following conditions are met:
* No reverse engineering, decompilation, or disassembly of this software is permitted with respect to any software provided in binary form.
* any redistribution and use are licensed by TI for use only with TI Devices.
* Nothing shall obligate TI to provide you with source code for the software licensed and provided to you in object code.
If software source code is provided to you, modification and redistribution of the source code are permitted provided that the following conditions are met:
* any redistribution and use of the source code, including any resulting derivative works, are licensed by TI for use only with TI Devices.
* any redistribution and use of any object code compiled from the source code and any resulting derivative works, are licensed by TI for use only with TI Devices.
Neither the name of Texas Instruments Incorporated nor the names of its suppliers may be used to endorse or promote products derived from this software without specific prior written permission.
DISCLAIMER.
THIS SOFTWARE IS PROVIDED BY TI AND TI’S LICENSORS "AS IS" AND ANY EXPRESS OR IMPLIED WARRANTIES, INCLUDING, BUT NOT LIMITED TO, THE IMPLIED WARRANTIES OF MERCHANTABILITY AND FITNESS FOR A PARTICULAR PURPOSE ARE DISCLAIMED. IN NO EVENT SHALL TI AND TI’S LICENSORS BE LIABLE FOR ANY DIRECT, INDIRECT, INCIDENTAL, SPECIAL, EXEMPLARY, OR CONSEQUENTIAL DAMAGES (INCLUDING, BUT NOT LIMITED TO, PROCUREMENT OF SUBSTITUTE GOODS OR SERVICES; LOSS OF USE, DATA, OR PROFITS; OR BUSINESS INTERRUPTION) HOWEVER CAUSED AND ON ANY THEORY OF LIABILITY, WHETHER IN CONTRACT, STRICT LIABILITY, OR TORT (INCLUDING NEGLIGENCE OR OTHERWISE) ARISING IN ANY WAY OUT OF THE USE OF THIS SOFTWARE, EVEN IF ADVISED OF THE POSSIBILITY OF SUCH DAMAGE.
</t>
  </si>
  <si>
    <t>5.0SMDJXXX</t>
  </si>
  <si>
    <r>
      <t>C</t>
    </r>
    <r>
      <rPr>
        <vertAlign val="subscript"/>
        <sz val="10"/>
        <rFont val="Arial"/>
        <family val="2"/>
      </rPr>
      <t>dv/dt</t>
    </r>
    <r>
      <rPr>
        <sz val="10"/>
        <rFont val="Arial"/>
        <family val="2"/>
      </rPr>
      <t xml:space="preserve"> =</t>
    </r>
  </si>
  <si>
    <t>1N4148W-7-F</t>
  </si>
  <si>
    <t>MMBT3906</t>
  </si>
  <si>
    <t>Robust Hot Swap Design</t>
  </si>
  <si>
    <t>© 2015</t>
  </si>
  <si>
    <r>
      <t>Minimum Power Limit to Ensure Vsns &gt; 4mV (P</t>
    </r>
    <r>
      <rPr>
        <vertAlign val="subscript"/>
        <sz val="10"/>
        <rFont val="Arial"/>
        <family val="2"/>
      </rPr>
      <t>LIM,MIN</t>
    </r>
    <r>
      <rPr>
        <sz val="10"/>
        <rFont val="Arial"/>
        <family val="2"/>
      </rPr>
      <t>)</t>
    </r>
  </si>
  <si>
    <t>D2 =</t>
  </si>
  <si>
    <t>SK153-TP</t>
  </si>
  <si>
    <t>Q1 =</t>
  </si>
  <si>
    <t>Q2 =</t>
  </si>
  <si>
    <t>Q3 =</t>
  </si>
  <si>
    <t>Z1 =</t>
  </si>
  <si>
    <t>D1, D3 =</t>
  </si>
  <si>
    <t>Step 0: Calculator Tutorials</t>
  </si>
  <si>
    <r>
      <rPr>
        <b/>
        <u/>
        <sz val="12"/>
        <color rgb="FFFF0000"/>
        <rFont val="Arial"/>
        <family val="2"/>
      </rPr>
      <t>Note</t>
    </r>
    <r>
      <rPr>
        <sz val="12"/>
        <color rgb="FFFF0000"/>
        <rFont val="Arial"/>
        <family val="2"/>
      </rPr>
      <t>: Before proceeding, please watch the video tutorials listed to ensure accurate results from this tool!</t>
    </r>
  </si>
  <si>
    <t>Steps 1 &amp; 2: Operating Conditions, Current Limit, &amp; Circuit Breaker (7:41)</t>
  </si>
  <si>
    <t>Step 3: MOSFET Selection (9:58)</t>
  </si>
  <si>
    <t>Step 4: Startup (10:32)</t>
  </si>
  <si>
    <t>Step 5: UVLO, OVLO &amp; PGD Thresholds (4:20)</t>
  </si>
  <si>
    <r>
      <rPr>
        <b/>
        <sz val="11"/>
        <rFont val="Arial"/>
        <family val="2"/>
      </rPr>
      <t>I understand and agree to watch the video tutorials if help is needed.</t>
    </r>
    <r>
      <rPr>
        <sz val="11"/>
        <rFont val="Arial"/>
        <family val="2"/>
      </rPr>
      <t xml:space="preserve"> </t>
    </r>
    <r>
      <rPr>
        <sz val="10"/>
        <rFont val="Arial"/>
        <family val="2"/>
      </rPr>
      <t>(Choose Yes to enable the calculator.)</t>
    </r>
  </si>
  <si>
    <t xml:space="preserve">Assure to follow the layout and application guidelines listed on the datasheet. </t>
  </si>
  <si>
    <r>
      <rPr>
        <sz val="10"/>
        <rFont val="Arial"/>
        <family val="2"/>
      </rPr>
      <t>*For additional questions not addressed in the videos, please post on</t>
    </r>
    <r>
      <rPr>
        <u/>
        <sz val="10"/>
        <color theme="10"/>
        <rFont val="Arial"/>
        <family val="2"/>
      </rPr>
      <t xml:space="preserve"> E2E.ti.com</t>
    </r>
  </si>
  <si>
    <t>LM25066 Datasheet</t>
  </si>
  <si>
    <t>Steps 1 &amp; 2: Operating Conditions, Current Limit, &amp; Circuit Breaker</t>
  </si>
  <si>
    <r>
      <rPr>
        <b/>
        <u/>
        <sz val="9"/>
        <color rgb="FFFF0000"/>
        <rFont val="Arial"/>
        <family val="2"/>
      </rPr>
      <t>Note:</t>
    </r>
    <r>
      <rPr>
        <b/>
        <sz val="9"/>
        <color rgb="FFFF0000"/>
        <rFont val="Arial"/>
        <family val="2"/>
      </rPr>
      <t xml:space="preserve"> Hover here to see the 3 values affecting this curve, consult a thermal expert if you are unsure! </t>
    </r>
  </si>
  <si>
    <t>LM25066/A/I/AI Design Tool- Rev. D</t>
  </si>
  <si>
    <t>PSMN3R7-100BSEJ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</si>
</sst>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
    <numFmt numFmtId="165" formatCode="0.0"/>
    <numFmt numFmtId="166" formatCode="##0.00E+0"/>
    <numFmt numFmtId="167" formatCode="0.0000"/>
  </numFmts>
  <fonts count="5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b/>
      <sz val="8"/>
      <color indexed="81"/>
      <name val="Tahoma"/>
      <family val="2"/>
    </font>
    <font>
      <vertAlign val="subscript"/>
      <sz val="10"/>
      <name val="Arial"/>
      <family val="2"/>
    </font>
    <font>
      <sz val="10"/>
      <name val="Arial"/>
      <family val="2"/>
    </font>
    <font>
      <b/>
      <sz val="10"/>
      <color indexed="10"/>
      <name val="Arial"/>
      <family val="2"/>
    </font>
    <font>
      <sz val="10"/>
      <color indexed="55"/>
      <name val="Arial"/>
      <family val="2"/>
    </font>
    <font>
      <b/>
      <vertAlign val="subscript"/>
      <sz val="10"/>
      <name val="Arial"/>
      <family val="2"/>
    </font>
    <font>
      <sz val="10"/>
      <name val="Symbol"/>
      <family val="1"/>
      <charset val="2"/>
    </font>
    <font>
      <b/>
      <sz val="9"/>
      <color indexed="81"/>
      <name val="Tahoma"/>
      <family val="2"/>
    </font>
    <font>
      <sz val="9"/>
      <color indexed="81"/>
      <name val="Tahoma"/>
      <family val="2"/>
    </font>
    <font>
      <b/>
      <sz val="12"/>
      <color rgb="FFFF0000"/>
      <name val="Calibri"/>
      <family val="2"/>
    </font>
    <font>
      <u/>
      <sz val="10"/>
      <color theme="10"/>
      <name val="Arial"/>
      <family val="2"/>
    </font>
    <font>
      <u/>
      <sz val="10"/>
      <color theme="0"/>
      <name val="Arial"/>
      <family val="2"/>
    </font>
    <font>
      <sz val="10"/>
      <name val="Calibri"/>
      <family val="2"/>
    </font>
    <font>
      <sz val="24"/>
      <color theme="0"/>
      <name val="Arial"/>
      <family val="2"/>
    </font>
    <font>
      <sz val="26"/>
      <color theme="0"/>
      <name val="Arial"/>
      <family val="2"/>
    </font>
    <font>
      <sz val="10"/>
      <color theme="0"/>
      <name val="Calibri"/>
      <family val="2"/>
    </font>
    <font>
      <b/>
      <sz val="11"/>
      <color rgb="FF0000FF"/>
      <name val="Arial"/>
      <family val="2"/>
    </font>
    <font>
      <sz val="11"/>
      <color theme="1"/>
      <name val="Arial"/>
      <family val="2"/>
    </font>
    <font>
      <vertAlign val="subscript"/>
      <sz val="11"/>
      <color theme="1"/>
      <name val="Arial"/>
      <family val="2"/>
    </font>
    <font>
      <b/>
      <sz val="11"/>
      <name val="Arial"/>
      <family val="2"/>
    </font>
    <font>
      <b/>
      <sz val="8"/>
      <color indexed="10"/>
      <name val="Tahoma"/>
      <family val="2"/>
    </font>
    <font>
      <b/>
      <sz val="8"/>
      <color indexed="81"/>
      <name val="Arial"/>
      <family val="2"/>
    </font>
    <font>
      <vertAlign val="superscript"/>
      <sz val="10"/>
      <name val="Arial"/>
      <family val="2"/>
    </font>
    <font>
      <b/>
      <u/>
      <sz val="10"/>
      <name val="Arial"/>
      <family val="2"/>
    </font>
    <font>
      <u/>
      <sz val="10"/>
      <name val="Arial"/>
      <family val="2"/>
    </font>
    <font>
      <sz val="11"/>
      <color rgb="FF000000"/>
      <name val="Calibri"/>
      <family val="2"/>
      <scheme val="minor"/>
    </font>
    <font>
      <sz val="10"/>
      <color rgb="FFFF0000"/>
      <name val="Arial"/>
      <family val="2"/>
    </font>
    <font>
      <sz val="22"/>
      <color theme="0"/>
      <name val="Arial"/>
      <family val="2"/>
    </font>
    <font>
      <b/>
      <u/>
      <sz val="10"/>
      <name val="Symbol"/>
      <family val="1"/>
      <charset val="2"/>
    </font>
    <font>
      <b/>
      <sz val="24"/>
      <name val="Arial"/>
      <family val="2"/>
    </font>
    <font>
      <sz val="12"/>
      <name val="MS Sans Serif"/>
      <family val="2"/>
    </font>
    <font>
      <b/>
      <sz val="18"/>
      <name val="Arial"/>
      <family val="2"/>
    </font>
    <font>
      <b/>
      <i/>
      <sz val="16"/>
      <name val="Arial"/>
      <family val="2"/>
    </font>
    <font>
      <b/>
      <i/>
      <sz val="11"/>
      <name val="Arial"/>
      <family val="2"/>
    </font>
    <font>
      <b/>
      <i/>
      <sz val="10"/>
      <name val="Arial"/>
      <family val="2"/>
    </font>
    <font>
      <b/>
      <sz val="9"/>
      <color rgb="FFFF0000"/>
      <name val="Arial"/>
      <family val="2"/>
    </font>
    <font>
      <b/>
      <sz val="10"/>
      <color rgb="FFFF0000"/>
      <name val="Arial"/>
      <family val="2"/>
    </font>
    <font>
      <sz val="11"/>
      <color rgb="FF000000"/>
      <name val="Arial"/>
      <family val="2"/>
    </font>
    <font>
      <sz val="12"/>
      <color rgb="FF0000FF"/>
      <name val="Arial"/>
      <family val="2"/>
    </font>
    <font>
      <b/>
      <u/>
      <sz val="12"/>
      <color rgb="FFFF0000"/>
      <name val="Arial"/>
      <family val="2"/>
    </font>
    <font>
      <sz val="12"/>
      <color rgb="FFFF0000"/>
      <name val="Arial"/>
      <family val="2"/>
    </font>
    <font>
      <sz val="12"/>
      <name val="Arial"/>
      <family val="2"/>
    </font>
    <font>
      <u/>
      <sz val="12"/>
      <color theme="10"/>
      <name val="Arial"/>
      <family val="2"/>
    </font>
    <font>
      <sz val="11"/>
      <name val="Arial"/>
      <family val="2"/>
    </font>
    <font>
      <b/>
      <u/>
      <sz val="9"/>
      <color rgb="FFFF0000"/>
      <name val="Arial"/>
      <family val="2"/>
    </font>
    <font>
      <b/>
      <sz val="9"/>
      <name val="Arial"/>
      <family val="2"/>
    </font>
    <font>
      <sz val="8"/>
      <color indexed="81"/>
      <name val="Tahoma"/>
      <family val="2"/>
    </font>
  </fonts>
  <fills count="14">
    <fill>
      <patternFill patternType="none"/>
    </fill>
    <fill>
      <patternFill patternType="gray125"/>
    </fill>
    <fill>
      <patternFill patternType="solid">
        <fgColor indexed="65"/>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6" tint="0.39997558519241921"/>
        <bgColor indexed="64"/>
      </patternFill>
    </fill>
    <fill>
      <patternFill patternType="solid">
        <fgColor theme="0" tint="-0.14996795556505021"/>
        <bgColor indexed="64"/>
      </patternFill>
    </fill>
    <fill>
      <patternFill patternType="solid">
        <fgColor theme="5" tint="0.39997558519241921"/>
        <bgColor indexed="64"/>
      </patternFill>
    </fill>
    <fill>
      <patternFill patternType="solid">
        <fgColor theme="6" tint="0.59999389629810485"/>
        <bgColor indexed="64"/>
      </patternFill>
    </fill>
    <fill>
      <patternFill patternType="solid">
        <fgColor theme="6" tint="0.39994506668294322"/>
        <bgColor indexed="64"/>
      </patternFill>
    </fill>
    <fill>
      <patternFill patternType="solid">
        <fgColor theme="0" tint="-0.249977111117893"/>
        <bgColor indexed="64"/>
      </patternFill>
    </fill>
    <fill>
      <patternFill patternType="solid">
        <fgColor indexed="13"/>
        <bgColor indexed="64"/>
      </patternFill>
    </fill>
    <fill>
      <patternFill patternType="solid">
        <fgColor theme="7"/>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top style="medium">
        <color auto="1"/>
      </top>
      <bottom/>
      <diagonal/>
    </border>
    <border>
      <left/>
      <right/>
      <top style="medium">
        <color auto="1"/>
      </top>
      <bottom/>
      <diagonal/>
    </border>
    <border>
      <left style="medium">
        <color indexed="64"/>
      </left>
      <right/>
      <top/>
      <bottom/>
      <diagonal/>
    </border>
    <border>
      <left/>
      <right/>
      <top/>
      <bottom style="medium">
        <color auto="1"/>
      </bottom>
      <diagonal/>
    </border>
    <border>
      <left style="medium">
        <color indexed="64"/>
      </left>
      <right/>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thin">
        <color indexed="64"/>
      </left>
      <right style="thin">
        <color indexed="64"/>
      </right>
      <top/>
      <bottom style="medium">
        <color auto="1"/>
      </bottom>
      <diagonal/>
    </border>
    <border>
      <left/>
      <right style="thin">
        <color indexed="64"/>
      </right>
      <top/>
      <bottom style="medium">
        <color auto="1"/>
      </bottom>
      <diagonal/>
    </border>
    <border>
      <left style="thin">
        <color indexed="64"/>
      </left>
      <right style="thin">
        <color indexed="64"/>
      </right>
      <top style="medium">
        <color auto="1"/>
      </top>
      <bottom/>
      <diagonal/>
    </border>
    <border>
      <left/>
      <right style="thin">
        <color auto="1"/>
      </right>
      <top style="medium">
        <color auto="1"/>
      </top>
      <bottom/>
      <diagonal/>
    </border>
    <border>
      <left style="thick">
        <color indexed="39"/>
      </left>
      <right/>
      <top style="thick">
        <color indexed="39"/>
      </top>
      <bottom/>
      <diagonal/>
    </border>
    <border>
      <left/>
      <right/>
      <top style="thick">
        <color indexed="39"/>
      </top>
      <bottom/>
      <diagonal/>
    </border>
    <border>
      <left/>
      <right style="thick">
        <color indexed="39"/>
      </right>
      <top style="thick">
        <color indexed="39"/>
      </top>
      <bottom/>
      <diagonal/>
    </border>
    <border>
      <left style="thick">
        <color indexed="39"/>
      </left>
      <right/>
      <top/>
      <bottom/>
      <diagonal/>
    </border>
    <border>
      <left/>
      <right style="thick">
        <color indexed="39"/>
      </right>
      <top/>
      <bottom/>
      <diagonal/>
    </border>
    <border>
      <left style="thick">
        <color indexed="39"/>
      </left>
      <right/>
      <top/>
      <bottom style="thick">
        <color indexed="39"/>
      </bottom>
      <diagonal/>
    </border>
    <border>
      <left/>
      <right/>
      <top/>
      <bottom style="thick">
        <color indexed="39"/>
      </bottom>
      <diagonal/>
    </border>
    <border>
      <left/>
      <right style="thick">
        <color indexed="39"/>
      </right>
      <top/>
      <bottom style="thick">
        <color indexed="39"/>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theme="0" tint="-0.499984740745262"/>
      </left>
      <right style="thin">
        <color indexed="64"/>
      </right>
      <top style="medium">
        <color theme="0" tint="-0.499984740745262"/>
      </top>
      <bottom style="medium">
        <color theme="0" tint="-0.499984740745262"/>
      </bottom>
      <diagonal/>
    </border>
    <border>
      <left style="thin">
        <color indexed="64"/>
      </left>
      <right style="thin">
        <color indexed="64"/>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thin">
        <color indexed="64"/>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s>
  <cellStyleXfs count="16">
    <xf numFmtId="0" fontId="0" fillId="0" borderId="0"/>
    <xf numFmtId="0" fontId="17" fillId="0" borderId="0" applyNumberFormat="0" applyFill="0" applyBorder="0" applyAlignment="0" applyProtection="0">
      <alignment vertical="top"/>
      <protection locked="0"/>
    </xf>
    <xf numFmtId="0" fontId="4" fillId="0" borderId="0"/>
    <xf numFmtId="0" fontId="4" fillId="2" borderId="0">
      <alignment horizontal="center"/>
    </xf>
    <xf numFmtId="0" fontId="4" fillId="5" borderId="1">
      <alignment horizontal="center" vertical="center"/>
      <protection locked="0"/>
    </xf>
    <xf numFmtId="0" fontId="4" fillId="10" borderId="1">
      <alignment horizontal="center" vertical="center"/>
      <protection locked="0"/>
    </xf>
    <xf numFmtId="0" fontId="4" fillId="0" borderId="13"/>
    <xf numFmtId="0" fontId="4" fillId="10" borderId="1">
      <alignment horizontal="center" vertical="center"/>
      <protection locked="0"/>
    </xf>
    <xf numFmtId="0" fontId="4" fillId="10" borderId="1">
      <alignment horizontal="center" vertical="center"/>
      <protection locked="0"/>
    </xf>
    <xf numFmtId="0" fontId="4" fillId="10" borderId="1">
      <alignment horizontal="center" vertical="center"/>
      <protection locked="0"/>
    </xf>
    <xf numFmtId="0" fontId="3" fillId="0" borderId="0"/>
    <xf numFmtId="0" fontId="2" fillId="0" borderId="0"/>
    <xf numFmtId="0" fontId="1" fillId="0" borderId="0"/>
    <xf numFmtId="0" fontId="4" fillId="0" borderId="0"/>
    <xf numFmtId="0" fontId="1" fillId="0" borderId="0"/>
    <xf numFmtId="0" fontId="1" fillId="0" borderId="0"/>
  </cellStyleXfs>
  <cellXfs count="383">
    <xf numFmtId="0" fontId="0" fillId="0" borderId="0" xfId="0"/>
    <xf numFmtId="0" fontId="0" fillId="0" borderId="0" xfId="0" applyAlignment="1">
      <alignment horizontal="center"/>
    </xf>
    <xf numFmtId="0" fontId="0" fillId="0" borderId="0" xfId="0" applyAlignment="1">
      <alignment horizontal="right"/>
    </xf>
    <xf numFmtId="0" fontId="0" fillId="0" borderId="0" xfId="0" applyFill="1" applyBorder="1" applyAlignment="1">
      <alignment horizontal="right"/>
    </xf>
    <xf numFmtId="2" fontId="0" fillId="0" borderId="0" xfId="0" applyNumberFormat="1"/>
    <xf numFmtId="0" fontId="0" fillId="0" borderId="1" xfId="0" applyBorder="1" applyAlignment="1">
      <alignment horizontal="center"/>
    </xf>
    <xf numFmtId="164" fontId="0" fillId="0" borderId="0" xfId="0" applyNumberFormat="1" applyAlignment="1">
      <alignment horizontal="center"/>
    </xf>
    <xf numFmtId="10" fontId="0" fillId="0" borderId="0" xfId="0" applyNumberFormat="1"/>
    <xf numFmtId="0" fontId="0" fillId="0" borderId="2" xfId="0" applyBorder="1" applyAlignment="1">
      <alignment horizontal="center"/>
    </xf>
    <xf numFmtId="0" fontId="0" fillId="0" borderId="0" xfId="0" applyBorder="1"/>
    <xf numFmtId="0" fontId="0" fillId="0" borderId="3" xfId="0" applyBorder="1"/>
    <xf numFmtId="0" fontId="0" fillId="0" borderId="4" xfId="0" applyBorder="1"/>
    <xf numFmtId="0" fontId="0" fillId="0" borderId="5" xfId="0" applyFill="1" applyBorder="1" applyAlignment="1">
      <alignment horizontal="right"/>
    </xf>
    <xf numFmtId="0" fontId="0" fillId="0" borderId="6" xfId="0" applyBorder="1"/>
    <xf numFmtId="0" fontId="0" fillId="0" borderId="7" xfId="0" applyFill="1" applyBorder="1" applyAlignment="1">
      <alignment horizontal="right"/>
    </xf>
    <xf numFmtId="0" fontId="0" fillId="0" borderId="8" xfId="0" applyBorder="1"/>
    <xf numFmtId="0" fontId="0" fillId="0" borderId="9" xfId="0" applyBorder="1"/>
    <xf numFmtId="0" fontId="0" fillId="0" borderId="10" xfId="0" applyFill="1" applyBorder="1" applyAlignment="1">
      <alignment horizontal="right"/>
    </xf>
    <xf numFmtId="2" fontId="0" fillId="0" borderId="0" xfId="0" applyNumberFormat="1" applyAlignment="1">
      <alignment horizontal="center"/>
    </xf>
    <xf numFmtId="0" fontId="0" fillId="2" borderId="0" xfId="0" applyFill="1"/>
    <xf numFmtId="0" fontId="0" fillId="2" borderId="0" xfId="0" applyFill="1" applyAlignment="1">
      <alignment horizontal="center"/>
    </xf>
    <xf numFmtId="0" fontId="0" fillId="2" borderId="1" xfId="0" applyFill="1" applyBorder="1" applyAlignment="1">
      <alignment horizontal="center"/>
    </xf>
    <xf numFmtId="0" fontId="0" fillId="2" borderId="0" xfId="0" applyFill="1" applyBorder="1" applyAlignment="1">
      <alignment horizontal="right"/>
    </xf>
    <xf numFmtId="0" fontId="0" fillId="2" borderId="0" xfId="0" applyFill="1" applyBorder="1"/>
    <xf numFmtId="0" fontId="11" fillId="2" borderId="0" xfId="0" applyFont="1" applyFill="1" applyAlignment="1">
      <alignment horizontal="left"/>
    </xf>
    <xf numFmtId="14" fontId="11" fillId="2" borderId="0" xfId="0" applyNumberFormat="1" applyFont="1" applyFill="1" applyAlignment="1">
      <alignment horizontal="left"/>
    </xf>
    <xf numFmtId="0" fontId="0" fillId="0" borderId="1" xfId="0" applyFill="1" applyBorder="1" applyAlignment="1">
      <alignment horizontal="center"/>
    </xf>
    <xf numFmtId="0" fontId="5" fillId="0" borderId="0" xfId="0" applyFont="1"/>
    <xf numFmtId="2" fontId="0" fillId="0" borderId="1" xfId="0" applyNumberFormat="1" applyBorder="1" applyAlignment="1">
      <alignment horizontal="center"/>
    </xf>
    <xf numFmtId="0" fontId="0" fillId="0" borderId="11" xfId="0" applyBorder="1" applyAlignment="1">
      <alignment horizontal="center"/>
    </xf>
    <xf numFmtId="0" fontId="0" fillId="0" borderId="14" xfId="0" applyFill="1" applyBorder="1" applyAlignment="1">
      <alignment horizontal="center"/>
    </xf>
    <xf numFmtId="0" fontId="0" fillId="2" borderId="0" xfId="0" applyFill="1" applyProtection="1">
      <protection locked="0"/>
    </xf>
    <xf numFmtId="0" fontId="0" fillId="2" borderId="0" xfId="0" applyFill="1" applyProtection="1"/>
    <xf numFmtId="0" fontId="4" fillId="0" borderId="0" xfId="0" applyFont="1"/>
    <xf numFmtId="0" fontId="4" fillId="0" borderId="0" xfId="0" applyFont="1" applyAlignment="1">
      <alignment horizontal="right"/>
    </xf>
    <xf numFmtId="0" fontId="4" fillId="2" borderId="0" xfId="0" applyFont="1" applyFill="1" applyBorder="1" applyAlignment="1">
      <alignment horizontal="left"/>
    </xf>
    <xf numFmtId="0" fontId="0" fillId="3" borderId="0" xfId="0" applyFill="1"/>
    <xf numFmtId="0" fontId="4" fillId="2" borderId="0" xfId="0" applyFont="1" applyFill="1" applyBorder="1" applyAlignment="1">
      <alignment horizontal="right"/>
    </xf>
    <xf numFmtId="0" fontId="18" fillId="2" borderId="0" xfId="1" applyFont="1" applyFill="1" applyAlignment="1" applyProtection="1"/>
    <xf numFmtId="0" fontId="19" fillId="3" borderId="0" xfId="0" applyFont="1" applyFill="1" applyProtection="1"/>
    <xf numFmtId="0" fontId="22" fillId="3" borderId="0" xfId="0" applyFont="1" applyFill="1" applyBorder="1" applyProtection="1"/>
    <xf numFmtId="0" fontId="22" fillId="3" borderId="0" xfId="0" applyFont="1" applyFill="1" applyProtection="1"/>
    <xf numFmtId="0" fontId="21" fillId="3" borderId="24" xfId="0" applyFont="1" applyFill="1" applyBorder="1" applyAlignment="1" applyProtection="1">
      <alignment horizontal="center" vertical="center"/>
    </xf>
    <xf numFmtId="0" fontId="23" fillId="2" borderId="0" xfId="0" applyFont="1" applyFill="1"/>
    <xf numFmtId="0" fontId="26" fillId="2" borderId="0" xfId="0" applyFont="1" applyFill="1"/>
    <xf numFmtId="0" fontId="0" fillId="2" borderId="1" xfId="0" applyFill="1" applyBorder="1" applyAlignment="1">
      <alignment horizontal="center" vertical="center"/>
    </xf>
    <xf numFmtId="0" fontId="0" fillId="2" borderId="1" xfId="0" applyNumberFormat="1" applyFill="1" applyBorder="1" applyAlignment="1">
      <alignment horizontal="center" vertical="center"/>
    </xf>
    <xf numFmtId="0" fontId="0" fillId="2" borderId="11" xfId="0" applyNumberFormat="1" applyFill="1" applyBorder="1" applyAlignment="1">
      <alignment horizontal="center" vertical="center"/>
    </xf>
    <xf numFmtId="165" fontId="0" fillId="2" borderId="11" xfId="0" applyNumberFormat="1" applyFill="1" applyBorder="1" applyAlignment="1">
      <alignment horizontal="center" vertical="center"/>
    </xf>
    <xf numFmtId="2" fontId="0" fillId="2" borderId="11" xfId="0" applyNumberFormat="1" applyFill="1" applyBorder="1" applyAlignment="1">
      <alignment horizontal="center" vertical="center"/>
    </xf>
    <xf numFmtId="0" fontId="0" fillId="2" borderId="11" xfId="0" applyFill="1" applyBorder="1" applyAlignment="1">
      <alignment horizontal="center" vertical="center"/>
    </xf>
    <xf numFmtId="1" fontId="0" fillId="2" borderId="11" xfId="0" applyNumberFormat="1" applyFill="1" applyBorder="1" applyAlignment="1">
      <alignment horizontal="center" vertical="center"/>
    </xf>
    <xf numFmtId="2" fontId="0" fillId="2" borderId="15" xfId="0" applyNumberFormat="1" applyFill="1" applyBorder="1" applyAlignment="1">
      <alignment horizontal="center" vertical="center"/>
    </xf>
    <xf numFmtId="2" fontId="0" fillId="2" borderId="16" xfId="0" applyNumberFormat="1" applyFill="1" applyBorder="1" applyAlignment="1">
      <alignment horizontal="center" vertical="center"/>
    </xf>
    <xf numFmtId="2" fontId="0" fillId="2" borderId="17" xfId="0" applyNumberFormat="1" applyFill="1" applyBorder="1" applyAlignment="1">
      <alignment horizontal="center" vertical="center"/>
    </xf>
    <xf numFmtId="2" fontId="0" fillId="2" borderId="18" xfId="0" applyNumberFormat="1" applyFill="1" applyBorder="1" applyAlignment="1">
      <alignment horizontal="center" vertical="center"/>
    </xf>
    <xf numFmtId="2" fontId="0" fillId="2" borderId="1" xfId="0" applyNumberFormat="1" applyFill="1" applyBorder="1" applyAlignment="1">
      <alignment horizontal="center" vertical="center"/>
    </xf>
    <xf numFmtId="2" fontId="0" fillId="2" borderId="19" xfId="0" applyNumberFormat="1" applyFill="1" applyBorder="1" applyAlignment="1">
      <alignment horizontal="center" vertical="center"/>
    </xf>
    <xf numFmtId="2" fontId="0" fillId="2" borderId="20" xfId="0" applyNumberFormat="1" applyFill="1" applyBorder="1" applyAlignment="1">
      <alignment horizontal="center" vertical="center"/>
    </xf>
    <xf numFmtId="2" fontId="0" fillId="2" borderId="21" xfId="0" applyNumberFormat="1" applyFill="1" applyBorder="1" applyAlignment="1">
      <alignment horizontal="center" vertical="center"/>
    </xf>
    <xf numFmtId="2" fontId="0" fillId="2" borderId="22" xfId="0" applyNumberFormat="1" applyFill="1" applyBorder="1" applyAlignment="1">
      <alignment horizontal="center" vertical="center"/>
    </xf>
    <xf numFmtId="2" fontId="0" fillId="2" borderId="12" xfId="0" applyNumberFormat="1" applyFill="1" applyBorder="1" applyAlignment="1">
      <alignment horizontal="center" vertical="center"/>
    </xf>
    <xf numFmtId="2" fontId="0" fillId="0" borderId="1" xfId="0" applyNumberFormat="1" applyBorder="1" applyAlignment="1">
      <alignment horizontal="center" vertical="center"/>
    </xf>
    <xf numFmtId="1" fontId="0" fillId="2" borderId="1" xfId="0" applyNumberFormat="1" applyFill="1" applyBorder="1" applyAlignment="1">
      <alignment horizontal="center" vertical="center"/>
    </xf>
    <xf numFmtId="2" fontId="0" fillId="3" borderId="1" xfId="0" applyNumberFormat="1" applyFill="1" applyBorder="1" applyAlignment="1" applyProtection="1">
      <alignment horizontal="center"/>
    </xf>
    <xf numFmtId="165" fontId="0" fillId="2" borderId="1" xfId="0" applyNumberFormat="1" applyFill="1" applyBorder="1" applyAlignment="1">
      <alignment horizontal="center" vertical="center"/>
    </xf>
    <xf numFmtId="0" fontId="0" fillId="2" borderId="0" xfId="0" applyFill="1" applyBorder="1" applyAlignment="1">
      <alignment horizontal="right" vertical="center"/>
    </xf>
    <xf numFmtId="0" fontId="4" fillId="2" borderId="0" xfId="0" applyFont="1" applyFill="1" applyBorder="1" applyAlignment="1">
      <alignment horizontal="right" vertical="center"/>
    </xf>
    <xf numFmtId="0" fontId="4" fillId="2" borderId="0" xfId="0" applyFont="1" applyFill="1" applyAlignment="1">
      <alignment horizontal="right"/>
    </xf>
    <xf numFmtId="0" fontId="0" fillId="0" borderId="1" xfId="0" applyFill="1" applyBorder="1" applyAlignment="1" applyProtection="1">
      <alignment horizontal="center" vertical="center"/>
      <protection locked="0"/>
    </xf>
    <xf numFmtId="0" fontId="4" fillId="0" borderId="0" xfId="2" applyAlignment="1" applyProtection="1">
      <alignment horizontal="center"/>
    </xf>
    <xf numFmtId="0" fontId="4" fillId="0" borderId="0" xfId="2"/>
    <xf numFmtId="164" fontId="4" fillId="0" borderId="0" xfId="2" applyNumberFormat="1" applyAlignment="1" applyProtection="1">
      <alignment horizontal="center"/>
    </xf>
    <xf numFmtId="166" fontId="4" fillId="0" borderId="0" xfId="2" applyNumberFormat="1" applyAlignment="1" applyProtection="1">
      <alignment horizontal="center"/>
    </xf>
    <xf numFmtId="2" fontId="4" fillId="0" borderId="25" xfId="2" applyNumberFormat="1" applyBorder="1" applyAlignment="1" applyProtection="1">
      <alignment horizontal="center"/>
    </xf>
    <xf numFmtId="0" fontId="4" fillId="0" borderId="1" xfId="2" applyFont="1" applyBorder="1"/>
    <xf numFmtId="0" fontId="4" fillId="0" borderId="1" xfId="2" applyBorder="1"/>
    <xf numFmtId="0" fontId="4" fillId="0" borderId="0" xfId="0" applyFont="1" applyFill="1" applyBorder="1"/>
    <xf numFmtId="0" fontId="0" fillId="0" borderId="0" xfId="0" applyFill="1" applyBorder="1" applyAlignment="1" applyProtection="1">
      <alignment horizontal="center" vertical="center"/>
      <protection locked="0"/>
    </xf>
    <xf numFmtId="0" fontId="4" fillId="0" borderId="0" xfId="0" applyFont="1" applyFill="1" applyAlignment="1">
      <alignment horizontal="right"/>
    </xf>
    <xf numFmtId="166" fontId="4" fillId="0" borderId="0" xfId="2" applyNumberFormat="1" applyAlignment="1">
      <alignment horizontal="center"/>
    </xf>
    <xf numFmtId="2" fontId="4" fillId="0" borderId="0" xfId="2" applyNumberFormat="1" applyAlignment="1">
      <alignment horizontal="center"/>
    </xf>
    <xf numFmtId="0" fontId="4" fillId="0" borderId="0" xfId="0" applyFont="1" applyAlignment="1">
      <alignment horizontal="center"/>
    </xf>
    <xf numFmtId="0" fontId="0" fillId="2" borderId="24" xfId="0" applyFill="1" applyBorder="1"/>
    <xf numFmtId="0" fontId="4" fillId="2" borderId="24" xfId="0" applyFont="1" applyFill="1" applyBorder="1" applyAlignment="1">
      <alignment horizontal="right" vertical="center"/>
    </xf>
    <xf numFmtId="0" fontId="23" fillId="2" borderId="25" xfId="0" applyFont="1" applyFill="1" applyBorder="1"/>
    <xf numFmtId="0" fontId="0" fillId="2" borderId="25" xfId="0" applyFill="1" applyBorder="1"/>
    <xf numFmtId="0" fontId="0" fillId="2" borderId="27" xfId="0" applyFill="1" applyBorder="1"/>
    <xf numFmtId="0" fontId="0" fillId="2" borderId="26" xfId="0" applyFill="1" applyBorder="1"/>
    <xf numFmtId="0" fontId="4" fillId="2" borderId="26" xfId="0" applyFont="1" applyFill="1" applyBorder="1" applyAlignment="1">
      <alignment horizontal="right" vertical="center"/>
    </xf>
    <xf numFmtId="0" fontId="5" fillId="2" borderId="25" xfId="0" applyFont="1" applyFill="1" applyBorder="1"/>
    <xf numFmtId="0" fontId="4" fillId="2" borderId="24" xfId="0" applyFont="1" applyFill="1" applyBorder="1" applyAlignment="1">
      <alignment horizontal="right"/>
    </xf>
    <xf numFmtId="0" fontId="0" fillId="0" borderId="25" xfId="0" applyBorder="1"/>
    <xf numFmtId="0" fontId="0" fillId="0" borderId="0" xfId="0" applyAlignment="1">
      <alignment horizontal="left"/>
    </xf>
    <xf numFmtId="2" fontId="4" fillId="0" borderId="1" xfId="0" applyNumberFormat="1"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0" fillId="2" borderId="16" xfId="0" applyFill="1" applyBorder="1" applyAlignment="1">
      <alignment horizontal="center" vertical="center"/>
    </xf>
    <xf numFmtId="0" fontId="0" fillId="2" borderId="24" xfId="0" applyFill="1" applyBorder="1" applyAlignment="1">
      <alignment horizontal="right" vertical="center"/>
    </xf>
    <xf numFmtId="0" fontId="0" fillId="2" borderId="29" xfId="0" applyFill="1" applyBorder="1"/>
    <xf numFmtId="0" fontId="5" fillId="2" borderId="0" xfId="0" applyFont="1" applyFill="1" applyBorder="1" applyAlignment="1">
      <alignment horizontal="right"/>
    </xf>
    <xf numFmtId="0" fontId="5" fillId="2" borderId="0" xfId="0" applyFont="1" applyFill="1" applyBorder="1" applyAlignment="1">
      <alignment horizontal="center"/>
    </xf>
    <xf numFmtId="0" fontId="10" fillId="2" borderId="0" xfId="0" applyFont="1" applyFill="1" applyBorder="1"/>
    <xf numFmtId="0" fontId="0" fillId="2" borderId="30" xfId="0" applyFill="1" applyBorder="1"/>
    <xf numFmtId="0" fontId="4" fillId="2" borderId="29" xfId="0" applyFont="1" applyFill="1" applyBorder="1"/>
    <xf numFmtId="0" fontId="24" fillId="2" borderId="0" xfId="0" applyFont="1" applyFill="1" applyBorder="1" applyAlignment="1">
      <alignment horizontal="right" vertical="center"/>
    </xf>
    <xf numFmtId="0" fontId="0" fillId="2" borderId="14" xfId="0" applyFill="1" applyBorder="1" applyAlignment="1">
      <alignment horizontal="center" vertical="center"/>
    </xf>
    <xf numFmtId="0" fontId="0" fillId="2" borderId="7" xfId="0" applyFill="1" applyBorder="1" applyAlignment="1">
      <alignment horizontal="right" vertical="center"/>
    </xf>
    <xf numFmtId="0" fontId="4" fillId="2" borderId="13" xfId="0" applyFont="1" applyFill="1" applyBorder="1" applyAlignment="1">
      <alignment horizontal="right" vertical="center"/>
    </xf>
    <xf numFmtId="0" fontId="4" fillId="2" borderId="7" xfId="0" applyFont="1" applyFill="1" applyBorder="1" applyAlignment="1">
      <alignment horizontal="right" vertical="center"/>
    </xf>
    <xf numFmtId="0" fontId="0" fillId="3" borderId="0" xfId="0" applyFill="1" applyBorder="1"/>
    <xf numFmtId="0" fontId="0" fillId="0" borderId="0" xfId="0" applyFill="1" applyBorder="1" applyAlignment="1" applyProtection="1">
      <alignment horizontal="center"/>
    </xf>
    <xf numFmtId="0" fontId="0" fillId="3" borderId="0" xfId="0" applyFill="1" applyBorder="1" applyAlignment="1">
      <alignment horizontal="center"/>
    </xf>
    <xf numFmtId="0" fontId="4" fillId="2" borderId="7" xfId="0" applyFont="1" applyFill="1" applyBorder="1" applyAlignment="1">
      <alignment horizontal="right"/>
    </xf>
    <xf numFmtId="0" fontId="0" fillId="5" borderId="0" xfId="0" applyFill="1" applyBorder="1"/>
    <xf numFmtId="0" fontId="4" fillId="5" borderId="0" xfId="0" applyFont="1" applyFill="1" applyBorder="1" applyAlignment="1">
      <alignment horizontal="right" vertical="center"/>
    </xf>
    <xf numFmtId="0" fontId="0" fillId="6" borderId="0" xfId="0" applyFill="1" applyBorder="1"/>
    <xf numFmtId="0" fontId="4" fillId="6" borderId="0" xfId="0" applyFont="1" applyFill="1" applyBorder="1" applyAlignment="1">
      <alignment horizontal="right" vertical="center"/>
    </xf>
    <xf numFmtId="1" fontId="4" fillId="2" borderId="1" xfId="0" applyNumberFormat="1" applyFont="1" applyFill="1" applyBorder="1" applyAlignment="1">
      <alignment horizontal="center" vertical="center"/>
    </xf>
    <xf numFmtId="0" fontId="19" fillId="0" borderId="0" xfId="0" applyFont="1" applyFill="1" applyBorder="1" applyProtection="1"/>
    <xf numFmtId="0" fontId="0" fillId="2" borderId="28" xfId="0" applyFill="1" applyBorder="1"/>
    <xf numFmtId="0" fontId="4" fillId="2" borderId="0" xfId="0" applyFont="1" applyFill="1" applyBorder="1"/>
    <xf numFmtId="0" fontId="24" fillId="2" borderId="24" xfId="0" applyFont="1" applyFill="1" applyBorder="1" applyAlignment="1">
      <alignment horizontal="right" vertical="center"/>
    </xf>
    <xf numFmtId="14" fontId="4" fillId="2" borderId="0" xfId="0" applyNumberFormat="1" applyFont="1" applyFill="1" applyBorder="1" applyAlignment="1">
      <alignment horizontal="center"/>
    </xf>
    <xf numFmtId="0" fontId="4" fillId="2" borderId="26" xfId="0" applyFont="1" applyFill="1" applyBorder="1" applyAlignment="1">
      <alignment horizontal="left"/>
    </xf>
    <xf numFmtId="0" fontId="5" fillId="2" borderId="0" xfId="0" applyFont="1" applyFill="1" applyBorder="1"/>
    <xf numFmtId="0" fontId="0" fillId="2" borderId="21" xfId="0" applyFill="1" applyBorder="1" applyAlignment="1">
      <alignment horizontal="center"/>
    </xf>
    <xf numFmtId="1" fontId="0" fillId="2" borderId="1" xfId="0" applyNumberFormat="1" applyFill="1" applyBorder="1" applyAlignment="1">
      <alignment horizontal="center"/>
    </xf>
    <xf numFmtId="164" fontId="0" fillId="2" borderId="1" xfId="0" applyNumberFormat="1" applyFill="1" applyBorder="1" applyAlignment="1">
      <alignment horizontal="center"/>
    </xf>
    <xf numFmtId="0" fontId="33" fillId="0" borderId="0" xfId="0" applyFont="1"/>
    <xf numFmtId="0" fontId="4" fillId="2" borderId="32" xfId="0" applyFont="1" applyFill="1" applyBorder="1" applyAlignment="1">
      <alignment horizontal="right" vertical="center"/>
    </xf>
    <xf numFmtId="2" fontId="0" fillId="3" borderId="11" xfId="0" applyNumberFormat="1" applyFill="1" applyBorder="1" applyAlignment="1" applyProtection="1">
      <alignment horizontal="center"/>
    </xf>
    <xf numFmtId="165" fontId="0" fillId="2" borderId="1" xfId="0" applyNumberFormat="1" applyFill="1" applyBorder="1" applyAlignment="1">
      <alignment horizontal="center"/>
    </xf>
    <xf numFmtId="0" fontId="0" fillId="7" borderId="24" xfId="0" applyFill="1" applyBorder="1"/>
    <xf numFmtId="2" fontId="0" fillId="2" borderId="1" xfId="0" applyNumberFormat="1" applyFill="1" applyBorder="1" applyAlignment="1">
      <alignment horizontal="center"/>
    </xf>
    <xf numFmtId="0" fontId="0" fillId="3" borderId="1" xfId="0" applyFill="1" applyBorder="1" applyAlignment="1" applyProtection="1">
      <alignment horizontal="center"/>
    </xf>
    <xf numFmtId="1" fontId="4" fillId="2" borderId="0" xfId="0" applyNumberFormat="1" applyFont="1" applyFill="1" applyBorder="1" applyAlignment="1">
      <alignment horizontal="center" vertical="center"/>
    </xf>
    <xf numFmtId="0" fontId="5" fillId="0" borderId="0" xfId="0" applyFont="1" applyFill="1" applyAlignment="1" applyProtection="1">
      <alignment horizontal="left"/>
      <protection locked="0"/>
    </xf>
    <xf numFmtId="0" fontId="0" fillId="0" borderId="0" xfId="0" applyFill="1"/>
    <xf numFmtId="0" fontId="5" fillId="0" borderId="15" xfId="0" applyFont="1" applyFill="1" applyBorder="1" applyAlignment="1">
      <alignment horizontal="center"/>
    </xf>
    <xf numFmtId="0" fontId="5" fillId="0" borderId="17" xfId="0" applyFont="1" applyFill="1" applyBorder="1" applyAlignment="1">
      <alignment horizontal="center"/>
    </xf>
    <xf numFmtId="0" fontId="5" fillId="0" borderId="18" xfId="0" applyFont="1" applyFill="1" applyBorder="1" applyAlignment="1">
      <alignment horizontal="center"/>
    </xf>
    <xf numFmtId="0" fontId="5" fillId="0" borderId="19" xfId="0" applyFont="1" applyFill="1" applyBorder="1" applyAlignment="1">
      <alignment horizontal="center"/>
    </xf>
    <xf numFmtId="0" fontId="0" fillId="0" borderId="18" xfId="0" applyFill="1" applyBorder="1" applyAlignment="1" applyProtection="1">
      <alignment horizontal="center"/>
      <protection locked="0"/>
    </xf>
    <xf numFmtId="0" fontId="0" fillId="0" borderId="19" xfId="0" applyFill="1" applyBorder="1" applyAlignment="1" applyProtection="1">
      <alignment horizontal="center"/>
      <protection locked="0"/>
    </xf>
    <xf numFmtId="0" fontId="0" fillId="0" borderId="20" xfId="0" applyFill="1" applyBorder="1" applyAlignment="1" applyProtection="1">
      <alignment horizontal="center"/>
      <protection locked="0"/>
    </xf>
    <xf numFmtId="0" fontId="0" fillId="0" borderId="22" xfId="0" applyFill="1" applyBorder="1" applyAlignment="1" applyProtection="1">
      <alignment horizontal="center"/>
      <protection locked="0"/>
    </xf>
    <xf numFmtId="2" fontId="0" fillId="3" borderId="1" xfId="0" applyNumberFormat="1" applyFill="1" applyBorder="1" applyAlignment="1" applyProtection="1">
      <alignment horizontal="center" vertical="center"/>
    </xf>
    <xf numFmtId="0" fontId="0" fillId="8" borderId="0" xfId="0" applyFill="1" applyBorder="1"/>
    <xf numFmtId="0" fontId="4" fillId="8" borderId="0" xfId="0" applyFont="1" applyFill="1" applyBorder="1" applyAlignment="1">
      <alignment horizontal="right" vertical="center"/>
    </xf>
    <xf numFmtId="0" fontId="0" fillId="9" borderId="1" xfId="0" applyNumberFormat="1" applyFill="1" applyBorder="1" applyAlignment="1" applyProtection="1">
      <alignment horizontal="center" vertical="center"/>
      <protection locked="0"/>
    </xf>
    <xf numFmtId="0" fontId="26" fillId="7" borderId="23" xfId="0" applyFont="1" applyFill="1" applyBorder="1"/>
    <xf numFmtId="0" fontId="0" fillId="3" borderId="29" xfId="0" applyFill="1" applyBorder="1"/>
    <xf numFmtId="0" fontId="0" fillId="0" borderId="0" xfId="0" applyAlignment="1">
      <alignment horizontal="center"/>
    </xf>
    <xf numFmtId="0" fontId="4" fillId="0" borderId="0" xfId="0" applyFont="1" applyAlignment="1">
      <alignment horizontal="center"/>
    </xf>
    <xf numFmtId="0" fontId="0" fillId="0" borderId="0" xfId="0" applyAlignment="1">
      <alignment horizontal="center"/>
    </xf>
    <xf numFmtId="0" fontId="4" fillId="0" borderId="1" xfId="0" applyFont="1" applyBorder="1" applyAlignment="1">
      <alignment horizontal="center"/>
    </xf>
    <xf numFmtId="0" fontId="4" fillId="0" borderId="0" xfId="0" applyFont="1" applyAlignment="1">
      <alignment horizontal="left"/>
    </xf>
    <xf numFmtId="11" fontId="0" fillId="0" borderId="0" xfId="0" applyNumberFormat="1" applyAlignment="1">
      <alignment horizontal="center"/>
    </xf>
    <xf numFmtId="167" fontId="0" fillId="0" borderId="0" xfId="0" applyNumberFormat="1"/>
    <xf numFmtId="1" fontId="0" fillId="0" borderId="0" xfId="0" applyNumberFormat="1"/>
    <xf numFmtId="2" fontId="4" fillId="0" borderId="0" xfId="2" applyNumberFormat="1"/>
    <xf numFmtId="0" fontId="30" fillId="0" borderId="0" xfId="2" applyFont="1"/>
    <xf numFmtId="0" fontId="30" fillId="0" borderId="0" xfId="2" applyFont="1" applyAlignment="1" applyProtection="1">
      <alignment horizontal="center"/>
    </xf>
    <xf numFmtId="0" fontId="30" fillId="0" borderId="0" xfId="2" applyFont="1" applyAlignment="1">
      <alignment horizontal="center"/>
    </xf>
    <xf numFmtId="10" fontId="4" fillId="0" borderId="0" xfId="2" applyNumberFormat="1"/>
    <xf numFmtId="0" fontId="4" fillId="0" borderId="0" xfId="0" applyFont="1" applyAlignment="1">
      <alignment horizontal="center"/>
    </xf>
    <xf numFmtId="0" fontId="0" fillId="0" borderId="0" xfId="0" applyAlignment="1">
      <alignment horizontal="center"/>
    </xf>
    <xf numFmtId="9" fontId="0" fillId="2" borderId="1" xfId="0" applyNumberFormat="1" applyFill="1" applyBorder="1" applyAlignment="1">
      <alignment horizontal="center" vertical="center"/>
    </xf>
    <xf numFmtId="0" fontId="4" fillId="0" borderId="1" xfId="0" applyFont="1" applyFill="1" applyBorder="1" applyAlignment="1">
      <alignment horizontal="center"/>
    </xf>
    <xf numFmtId="0" fontId="4" fillId="0" borderId="6" xfId="0" applyFont="1" applyFill="1" applyBorder="1" applyAlignment="1">
      <alignment horizontal="center"/>
    </xf>
    <xf numFmtId="0" fontId="31" fillId="0" borderId="0" xfId="2" applyFont="1"/>
    <xf numFmtId="165" fontId="0" fillId="0" borderId="1" xfId="0" applyNumberFormat="1" applyFill="1" applyBorder="1" applyAlignment="1" applyProtection="1">
      <alignment horizontal="center" vertical="center"/>
    </xf>
    <xf numFmtId="0" fontId="30" fillId="0" borderId="0" xfId="0" applyFont="1" applyAlignment="1">
      <alignment horizontal="center"/>
    </xf>
    <xf numFmtId="0" fontId="5" fillId="0" borderId="0" xfId="0" applyFont="1" applyAlignment="1">
      <alignment horizontal="center"/>
    </xf>
    <xf numFmtId="0" fontId="4" fillId="3" borderId="0" xfId="0" applyFont="1" applyFill="1" applyBorder="1" applyAlignment="1">
      <alignment horizontal="right" vertical="center"/>
    </xf>
    <xf numFmtId="0" fontId="4" fillId="3" borderId="0" xfId="0" applyFont="1" applyFill="1" applyAlignment="1">
      <alignment horizontal="right"/>
    </xf>
    <xf numFmtId="0" fontId="4" fillId="0" borderId="13" xfId="0" applyFont="1" applyBorder="1" applyAlignment="1">
      <alignment horizontal="center"/>
    </xf>
    <xf numFmtId="0" fontId="4" fillId="2" borderId="33" xfId="0" applyFont="1" applyFill="1" applyBorder="1" applyAlignment="1">
      <alignment horizontal="center" vertical="center"/>
    </xf>
    <xf numFmtId="0" fontId="4" fillId="2" borderId="13" xfId="0" applyFont="1" applyFill="1" applyBorder="1" applyAlignment="1">
      <alignment horizontal="center" vertical="center"/>
    </xf>
    <xf numFmtId="0" fontId="0" fillId="2" borderId="13" xfId="0" applyFill="1" applyBorder="1" applyAlignment="1">
      <alignment horizontal="center" vertical="center"/>
    </xf>
    <xf numFmtId="0" fontId="4" fillId="2" borderId="31" xfId="0" applyFont="1" applyFill="1" applyBorder="1" applyAlignment="1">
      <alignment horizontal="center" vertical="center"/>
    </xf>
    <xf numFmtId="0" fontId="0" fillId="0" borderId="33" xfId="0" applyBorder="1" applyAlignment="1">
      <alignment horizontal="center" vertical="center"/>
    </xf>
    <xf numFmtId="0" fontId="13" fillId="2" borderId="13" xfId="0" applyFont="1" applyFill="1" applyBorder="1" applyAlignment="1">
      <alignment horizontal="center" vertical="center"/>
    </xf>
    <xf numFmtId="0" fontId="0" fillId="2" borderId="33" xfId="0" applyFill="1" applyBorder="1" applyAlignment="1">
      <alignment horizontal="center" vertical="center"/>
    </xf>
    <xf numFmtId="0" fontId="9" fillId="2" borderId="13" xfId="0" applyFont="1" applyFill="1" applyBorder="1" applyAlignment="1">
      <alignment horizontal="center" vertical="center"/>
    </xf>
    <xf numFmtId="0" fontId="0" fillId="2" borderId="34" xfId="0" applyFill="1" applyBorder="1" applyAlignment="1">
      <alignment horizontal="center" vertical="center"/>
    </xf>
    <xf numFmtId="0" fontId="4" fillId="2" borderId="7" xfId="0" applyFont="1" applyFill="1" applyBorder="1" applyAlignment="1">
      <alignment horizontal="center" vertical="center"/>
    </xf>
    <xf numFmtId="0" fontId="9" fillId="2" borderId="7" xfId="0" applyFont="1" applyFill="1" applyBorder="1" applyAlignment="1">
      <alignment horizontal="center" vertical="center"/>
    </xf>
    <xf numFmtId="0" fontId="0" fillId="2" borderId="7" xfId="0" applyFill="1" applyBorder="1" applyAlignment="1">
      <alignment horizontal="center"/>
    </xf>
    <xf numFmtId="0" fontId="9" fillId="2" borderId="7" xfId="0" applyFont="1" applyFill="1" applyBorder="1" applyAlignment="1">
      <alignment horizontal="center"/>
    </xf>
    <xf numFmtId="0" fontId="4" fillId="2" borderId="7" xfId="0" applyFont="1" applyFill="1" applyBorder="1" applyAlignment="1">
      <alignment horizontal="center"/>
    </xf>
    <xf numFmtId="0" fontId="9" fillId="2" borderId="24" xfId="0" applyFont="1" applyFill="1" applyBorder="1" applyAlignment="1">
      <alignment horizontal="center" vertical="center"/>
    </xf>
    <xf numFmtId="0" fontId="13" fillId="2" borderId="0" xfId="0" applyFont="1" applyFill="1" applyBorder="1" applyAlignment="1">
      <alignment horizontal="center" vertical="center"/>
    </xf>
    <xf numFmtId="0" fontId="9"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0" fillId="2" borderId="0" xfId="0" applyFill="1" applyBorder="1" applyAlignment="1">
      <alignment horizontal="center"/>
    </xf>
    <xf numFmtId="0" fontId="0" fillId="2" borderId="26" xfId="0" applyFill="1" applyBorder="1" applyAlignment="1">
      <alignment horizontal="center"/>
    </xf>
    <xf numFmtId="0" fontId="0" fillId="3" borderId="0" xfId="0" applyFill="1" applyAlignment="1">
      <alignment horizontal="center"/>
    </xf>
    <xf numFmtId="0" fontId="4" fillId="0" borderId="0" xfId="0" applyFont="1" applyFill="1" applyBorder="1" applyAlignment="1">
      <alignment horizontal="right"/>
    </xf>
    <xf numFmtId="2" fontId="4" fillId="0" borderId="0" xfId="0" applyNumberFormat="1" applyFont="1"/>
    <xf numFmtId="0" fontId="0" fillId="0" borderId="0" xfId="0" applyAlignment="1">
      <alignment horizontal="center"/>
    </xf>
    <xf numFmtId="0" fontId="0" fillId="10" borderId="16" xfId="0" applyFill="1" applyBorder="1" applyAlignment="1" applyProtection="1">
      <alignment horizontal="center" vertical="center"/>
      <protection locked="0"/>
    </xf>
    <xf numFmtId="0" fontId="0" fillId="10" borderId="1" xfId="0" applyFill="1" applyBorder="1" applyAlignment="1" applyProtection="1">
      <alignment horizontal="center" vertical="center"/>
      <protection locked="0"/>
    </xf>
    <xf numFmtId="0" fontId="0" fillId="10" borderId="21" xfId="0" applyFill="1" applyBorder="1" applyAlignment="1" applyProtection="1">
      <alignment horizontal="center" vertical="center"/>
      <protection locked="0"/>
    </xf>
    <xf numFmtId="0" fontId="4" fillId="2" borderId="0" xfId="0" applyFont="1" applyFill="1"/>
    <xf numFmtId="0" fontId="4" fillId="6" borderId="16" xfId="0" applyFont="1" applyFill="1" applyBorder="1" applyAlignment="1" applyProtection="1">
      <alignment horizontal="center" vertical="center"/>
      <protection locked="0"/>
    </xf>
    <xf numFmtId="0" fontId="4" fillId="6" borderId="1" xfId="0" applyFont="1" applyFill="1" applyBorder="1" applyAlignment="1" applyProtection="1">
      <alignment horizontal="center" vertical="center"/>
      <protection locked="0"/>
    </xf>
    <xf numFmtId="0" fontId="0" fillId="6" borderId="1" xfId="0" applyFill="1" applyBorder="1" applyAlignment="1" applyProtection="1">
      <alignment horizontal="center" vertical="center"/>
      <protection locked="0"/>
    </xf>
    <xf numFmtId="165" fontId="0" fillId="6" borderId="1" xfId="0" applyNumberFormat="1" applyFill="1" applyBorder="1" applyAlignment="1" applyProtection="1">
      <alignment horizontal="center" vertical="center"/>
      <protection locked="0"/>
    </xf>
    <xf numFmtId="0" fontId="0" fillId="6" borderId="16" xfId="0" applyFill="1" applyBorder="1" applyAlignment="1" applyProtection="1">
      <alignment horizontal="center" vertical="center"/>
      <protection locked="0"/>
    </xf>
    <xf numFmtId="0" fontId="0" fillId="6" borderId="1" xfId="0" applyNumberFormat="1" applyFill="1" applyBorder="1" applyAlignment="1" applyProtection="1">
      <alignment horizontal="center" vertical="center"/>
      <protection locked="0"/>
    </xf>
    <xf numFmtId="0" fontId="0" fillId="6" borderId="1" xfId="0" applyFill="1" applyBorder="1" applyAlignment="1" applyProtection="1">
      <alignment horizontal="center"/>
      <protection locked="0"/>
    </xf>
    <xf numFmtId="0" fontId="0" fillId="6" borderId="1" xfId="0" applyFill="1" applyBorder="1" applyAlignment="1" applyProtection="1">
      <alignment horizontal="center"/>
    </xf>
    <xf numFmtId="0" fontId="0" fillId="2" borderId="6" xfId="0" applyFill="1" applyBorder="1"/>
    <xf numFmtId="165" fontId="4" fillId="0" borderId="0" xfId="2" applyNumberFormat="1" applyAlignment="1">
      <alignment horizontal="center"/>
    </xf>
    <xf numFmtId="165" fontId="4" fillId="0" borderId="0" xfId="2" applyNumberFormat="1"/>
    <xf numFmtId="0" fontId="33" fillId="4" borderId="1" xfId="0" applyFont="1" applyFill="1" applyBorder="1" applyAlignment="1">
      <alignment horizontal="center"/>
    </xf>
    <xf numFmtId="0" fontId="0" fillId="5" borderId="1" xfId="0" applyFill="1" applyBorder="1" applyAlignment="1">
      <alignment horizontal="center"/>
    </xf>
    <xf numFmtId="0" fontId="4" fillId="0" borderId="0" xfId="2"/>
    <xf numFmtId="0" fontId="4" fillId="12" borderId="35" xfId="2" applyFill="1" applyBorder="1" applyProtection="1"/>
    <xf numFmtId="0" fontId="4" fillId="12" borderId="36" xfId="2" applyFill="1" applyBorder="1" applyProtection="1"/>
    <xf numFmtId="0" fontId="4" fillId="12" borderId="37" xfId="2" applyFill="1" applyBorder="1" applyProtection="1"/>
    <xf numFmtId="0" fontId="4" fillId="12" borderId="38" xfId="2" applyFill="1" applyBorder="1" applyProtection="1"/>
    <xf numFmtId="0" fontId="4" fillId="12" borderId="0" xfId="2" applyFill="1" applyBorder="1" applyProtection="1"/>
    <xf numFmtId="0" fontId="4" fillId="12" borderId="39" xfId="2" applyFill="1" applyBorder="1" applyProtection="1"/>
    <xf numFmtId="0" fontId="36" fillId="12" borderId="0" xfId="2" applyFont="1" applyFill="1" applyBorder="1" applyProtection="1"/>
    <xf numFmtId="0" fontId="37" fillId="12" borderId="0" xfId="2" applyFont="1" applyFill="1" applyBorder="1" applyProtection="1"/>
    <xf numFmtId="0" fontId="38" fillId="12" borderId="0" xfId="2" applyFont="1" applyFill="1" applyBorder="1" applyProtection="1"/>
    <xf numFmtId="0" fontId="39" fillId="12" borderId="0" xfId="2" applyFont="1" applyFill="1" applyProtection="1"/>
    <xf numFmtId="0" fontId="4" fillId="12" borderId="0" xfId="2" applyFill="1" applyProtection="1"/>
    <xf numFmtId="0" fontId="40" fillId="12" borderId="0" xfId="2" applyFont="1" applyFill="1" applyAlignment="1" applyProtection="1"/>
    <xf numFmtId="0" fontId="40" fillId="12" borderId="0" xfId="2" applyFont="1" applyFill="1" applyAlignment="1" applyProtection="1">
      <alignment wrapText="1"/>
    </xf>
    <xf numFmtId="0" fontId="41" fillId="12" borderId="0" xfId="2" applyFont="1" applyFill="1" applyAlignment="1" applyProtection="1">
      <alignment vertical="center"/>
    </xf>
    <xf numFmtId="0" fontId="41" fillId="12" borderId="0" xfId="2" applyFont="1" applyFill="1" applyProtection="1"/>
    <xf numFmtId="0" fontId="4" fillId="12" borderId="40" xfId="2" applyFill="1" applyBorder="1" applyProtection="1"/>
    <xf numFmtId="0" fontId="4" fillId="12" borderId="41" xfId="2" applyFill="1" applyBorder="1" applyProtection="1"/>
    <xf numFmtId="0" fontId="4" fillId="12" borderId="42" xfId="2" applyFill="1" applyBorder="1" applyProtection="1"/>
    <xf numFmtId="0" fontId="4" fillId="12" borderId="0" xfId="2" applyFont="1" applyFill="1" applyBorder="1" applyProtection="1"/>
    <xf numFmtId="165" fontId="0" fillId="2" borderId="0" xfId="0" applyNumberFormat="1" applyFill="1" applyBorder="1" applyAlignment="1">
      <alignment horizontal="center"/>
    </xf>
    <xf numFmtId="1" fontId="0" fillId="2" borderId="0" xfId="0" applyNumberFormat="1" applyFill="1" applyBorder="1" applyAlignment="1">
      <alignment horizontal="center"/>
    </xf>
    <xf numFmtId="2" fontId="0" fillId="2" borderId="0" xfId="0" applyNumberFormat="1" applyFill="1" applyBorder="1" applyAlignment="1">
      <alignment horizontal="center"/>
    </xf>
    <xf numFmtId="164" fontId="0" fillId="2" borderId="0" xfId="0" applyNumberFormat="1" applyFill="1" applyBorder="1" applyAlignment="1">
      <alignment horizontal="center"/>
    </xf>
    <xf numFmtId="2" fontId="4" fillId="0" borderId="0" xfId="2" applyNumberFormat="1" applyAlignment="1">
      <alignment horizontal="center"/>
    </xf>
    <xf numFmtId="0" fontId="4" fillId="0" borderId="0" xfId="2"/>
    <xf numFmtId="0" fontId="4" fillId="0" borderId="0" xfId="2" applyAlignment="1">
      <alignment horizontal="center"/>
    </xf>
    <xf numFmtId="2" fontId="4" fillId="0" borderId="0" xfId="2" applyNumberFormat="1"/>
    <xf numFmtId="0" fontId="4" fillId="0" borderId="0" xfId="2" applyFont="1"/>
    <xf numFmtId="0" fontId="4" fillId="0" borderId="0" xfId="2" applyFont="1" applyAlignment="1">
      <alignment horizontal="center"/>
    </xf>
    <xf numFmtId="0" fontId="4" fillId="0" borderId="0" xfId="2" applyBorder="1" applyAlignment="1">
      <alignment horizontal="center"/>
    </xf>
    <xf numFmtId="2" fontId="4" fillId="0" borderId="0" xfId="2" applyNumberFormat="1" applyBorder="1" applyAlignment="1">
      <alignment horizontal="center"/>
    </xf>
    <xf numFmtId="0" fontId="31" fillId="0" borderId="0" xfId="2" applyFont="1"/>
    <xf numFmtId="0" fontId="4" fillId="0" borderId="0" xfId="2" applyFont="1" applyBorder="1" applyAlignment="1">
      <alignment horizontal="center"/>
    </xf>
    <xf numFmtId="0" fontId="31" fillId="0" borderId="0" xfId="2" applyFont="1" applyAlignment="1">
      <alignment horizontal="center"/>
    </xf>
    <xf numFmtId="0" fontId="31" fillId="11" borderId="0" xfId="2" applyFont="1" applyFill="1"/>
    <xf numFmtId="2" fontId="31" fillId="0" borderId="0" xfId="2" applyNumberFormat="1" applyFont="1" applyBorder="1" applyAlignment="1">
      <alignment horizontal="center"/>
    </xf>
    <xf numFmtId="0" fontId="4" fillId="0" borderId="0" xfId="2"/>
    <xf numFmtId="0" fontId="4" fillId="0" borderId="0" xfId="2" applyAlignment="1">
      <alignment horizontal="center"/>
    </xf>
    <xf numFmtId="0" fontId="4" fillId="0" borderId="0" xfId="2" applyBorder="1"/>
    <xf numFmtId="2" fontId="4" fillId="0" borderId="0" xfId="2" applyNumberFormat="1" applyAlignment="1">
      <alignment horizontal="center"/>
    </xf>
    <xf numFmtId="0" fontId="4" fillId="0" borderId="0" xfId="2" applyFont="1"/>
    <xf numFmtId="0" fontId="4" fillId="0" borderId="0" xfId="2" applyFont="1" applyAlignment="1">
      <alignment horizontal="right"/>
    </xf>
    <xf numFmtId="0" fontId="4" fillId="0" borderId="0" xfId="2" applyFont="1" applyAlignment="1">
      <alignment horizontal="center"/>
    </xf>
    <xf numFmtId="0" fontId="4" fillId="0" borderId="1" xfId="2" applyBorder="1"/>
    <xf numFmtId="0" fontId="4" fillId="0" borderId="0" xfId="2" applyFill="1" applyBorder="1" applyAlignment="1">
      <alignment horizontal="center"/>
    </xf>
    <xf numFmtId="0" fontId="4" fillId="0" borderId="1" xfId="2" applyFont="1" applyBorder="1"/>
    <xf numFmtId="0" fontId="4" fillId="0" borderId="0" xfId="2" applyBorder="1" applyAlignment="1">
      <alignment horizontal="center"/>
    </xf>
    <xf numFmtId="2" fontId="4" fillId="0" borderId="0" xfId="2" applyNumberFormat="1" applyBorder="1" applyAlignment="1">
      <alignment horizontal="center"/>
    </xf>
    <xf numFmtId="2" fontId="4" fillId="0" borderId="1" xfId="2" applyNumberFormat="1" applyBorder="1"/>
    <xf numFmtId="0" fontId="4" fillId="0" borderId="0" xfId="2" applyFont="1" applyBorder="1"/>
    <xf numFmtId="0" fontId="31" fillId="0" borderId="0" xfId="2" applyFont="1"/>
    <xf numFmtId="0" fontId="32" fillId="0" borderId="0" xfId="2" applyFont="1" applyBorder="1" applyAlignment="1">
      <alignment horizontal="center"/>
    </xf>
    <xf numFmtId="2" fontId="4" fillId="0" borderId="0" xfId="2" applyNumberFormat="1" applyBorder="1"/>
    <xf numFmtId="0" fontId="4" fillId="0" borderId="0" xfId="2" applyFont="1" applyBorder="1" applyAlignment="1">
      <alignment horizontal="right"/>
    </xf>
    <xf numFmtId="2" fontId="4" fillId="0" borderId="0" xfId="2" applyNumberFormat="1" applyFont="1" applyBorder="1" applyAlignment="1">
      <alignment horizontal="left"/>
    </xf>
    <xf numFmtId="0" fontId="4" fillId="0" borderId="0" xfId="2" applyFont="1" applyBorder="1" applyAlignment="1">
      <alignment horizontal="center"/>
    </xf>
    <xf numFmtId="0" fontId="31" fillId="0" borderId="0" xfId="2" applyFont="1" applyBorder="1" applyAlignment="1">
      <alignment horizontal="center"/>
    </xf>
    <xf numFmtId="0" fontId="31" fillId="0" borderId="0" xfId="2" applyFont="1" applyBorder="1" applyAlignment="1">
      <alignment horizontal="left"/>
    </xf>
    <xf numFmtId="0" fontId="4" fillId="0" borderId="11" xfId="2" applyBorder="1"/>
    <xf numFmtId="0" fontId="4" fillId="0" borderId="1" xfId="2" applyFont="1" applyFill="1" applyBorder="1"/>
    <xf numFmtId="2" fontId="31" fillId="0" borderId="0" xfId="2" applyNumberFormat="1" applyFont="1" applyBorder="1" applyAlignment="1">
      <alignment horizontal="center"/>
    </xf>
    <xf numFmtId="0" fontId="4" fillId="0" borderId="0" xfId="2" applyBorder="1" applyAlignment="1"/>
    <xf numFmtId="0" fontId="4" fillId="2" borderId="25" xfId="0" applyFont="1" applyFill="1" applyBorder="1" applyAlignment="1">
      <alignment horizontal="right"/>
    </xf>
    <xf numFmtId="0" fontId="4" fillId="2" borderId="0" xfId="2" applyFont="1" applyFill="1" applyBorder="1" applyAlignment="1">
      <alignment horizontal="right" vertical="center"/>
    </xf>
    <xf numFmtId="0" fontId="4" fillId="2" borderId="0" xfId="2" applyFont="1" applyFill="1" applyBorder="1" applyAlignment="1">
      <alignment horizontal="right" vertical="center"/>
    </xf>
    <xf numFmtId="0" fontId="4" fillId="2" borderId="0" xfId="2" applyFont="1" applyFill="1" applyBorder="1" applyAlignment="1">
      <alignment horizontal="right" vertical="center"/>
    </xf>
    <xf numFmtId="1" fontId="4" fillId="2" borderId="1" xfId="2" applyNumberFormat="1" applyFont="1" applyFill="1" applyBorder="1" applyAlignment="1">
      <alignment horizontal="center" vertical="center"/>
    </xf>
    <xf numFmtId="0" fontId="4" fillId="2" borderId="1" xfId="0" applyFont="1" applyFill="1" applyBorder="1" applyAlignment="1">
      <alignment horizontal="right"/>
    </xf>
    <xf numFmtId="0" fontId="4" fillId="0" borderId="1" xfId="0" applyFont="1" applyBorder="1" applyAlignment="1">
      <alignment horizontal="right"/>
    </xf>
    <xf numFmtId="164" fontId="4" fillId="2" borderId="1" xfId="0" applyNumberFormat="1" applyFont="1" applyFill="1" applyBorder="1" applyAlignment="1">
      <alignment horizontal="right"/>
    </xf>
    <xf numFmtId="0" fontId="0" fillId="13" borderId="23" xfId="0" applyFill="1" applyBorder="1"/>
    <xf numFmtId="0" fontId="4" fillId="13" borderId="24" xfId="0" applyFont="1" applyFill="1" applyBorder="1" applyAlignment="1">
      <alignment horizontal="center"/>
    </xf>
    <xf numFmtId="0" fontId="5" fillId="13" borderId="24" xfId="0" applyFont="1" applyFill="1" applyBorder="1" applyAlignment="1">
      <alignment horizontal="center"/>
    </xf>
    <xf numFmtId="0" fontId="5" fillId="13" borderId="28" xfId="0" applyFont="1" applyFill="1" applyBorder="1" applyAlignment="1">
      <alignment horizontal="left"/>
    </xf>
    <xf numFmtId="0" fontId="0" fillId="2" borderId="18" xfId="0" applyFill="1" applyBorder="1"/>
    <xf numFmtId="0" fontId="4" fillId="2" borderId="19" xfId="0" applyFont="1" applyFill="1" applyBorder="1"/>
    <xf numFmtId="0" fontId="0" fillId="2" borderId="20" xfId="0" applyFill="1" applyBorder="1"/>
    <xf numFmtId="164" fontId="4" fillId="2" borderId="21" xfId="0" applyNumberFormat="1" applyFont="1" applyFill="1" applyBorder="1" applyAlignment="1">
      <alignment horizontal="right"/>
    </xf>
    <xf numFmtId="0" fontId="4" fillId="2" borderId="22" xfId="0" applyFont="1" applyFill="1" applyBorder="1"/>
    <xf numFmtId="0" fontId="4" fillId="6" borderId="11" xfId="0" applyFont="1" applyFill="1" applyBorder="1" applyAlignment="1" applyProtection="1">
      <alignment horizontal="center" vertical="center"/>
      <protection locked="0"/>
    </xf>
    <xf numFmtId="0" fontId="4" fillId="6" borderId="21" xfId="0" applyFont="1" applyFill="1" applyBorder="1" applyAlignment="1" applyProtection="1">
      <alignment horizontal="center" vertical="center"/>
      <protection locked="0"/>
    </xf>
    <xf numFmtId="11" fontId="0" fillId="0" borderId="0" xfId="0" applyNumberFormat="1" applyFill="1" applyBorder="1" applyAlignment="1" applyProtection="1">
      <alignment horizontal="center" vertical="center"/>
      <protection locked="0"/>
    </xf>
    <xf numFmtId="0" fontId="0" fillId="2" borderId="43" xfId="0" applyFill="1" applyBorder="1"/>
    <xf numFmtId="164" fontId="4" fillId="2" borderId="11" xfId="0" applyNumberFormat="1" applyFont="1" applyFill="1" applyBorder="1" applyAlignment="1">
      <alignment horizontal="right"/>
    </xf>
    <xf numFmtId="0" fontId="0" fillId="2" borderId="11" xfId="0" applyFill="1" applyBorder="1" applyAlignment="1">
      <alignment horizontal="center"/>
    </xf>
    <xf numFmtId="0" fontId="4" fillId="2" borderId="44" xfId="0" applyFont="1" applyFill="1" applyBorder="1"/>
    <xf numFmtId="0" fontId="4" fillId="2" borderId="0" xfId="2" applyFill="1" applyBorder="1"/>
    <xf numFmtId="0" fontId="4" fillId="2" borderId="0" xfId="2" applyFont="1" applyFill="1" applyBorder="1" applyAlignment="1">
      <alignment horizontal="right" vertical="center"/>
    </xf>
    <xf numFmtId="0" fontId="4" fillId="2" borderId="24" xfId="2" applyFill="1" applyBorder="1"/>
    <xf numFmtId="0" fontId="4" fillId="2" borderId="25" xfId="2" applyFill="1" applyBorder="1"/>
    <xf numFmtId="0" fontId="4" fillId="2" borderId="27" xfId="2" applyFill="1" applyBorder="1"/>
    <xf numFmtId="0" fontId="4" fillId="2" borderId="26" xfId="2" applyFill="1" applyBorder="1"/>
    <xf numFmtId="0" fontId="4" fillId="2" borderId="29" xfId="2" applyFill="1" applyBorder="1"/>
    <xf numFmtId="0" fontId="4" fillId="2" borderId="30" xfId="2" applyFill="1" applyBorder="1"/>
    <xf numFmtId="0" fontId="4" fillId="2" borderId="28" xfId="2" applyFill="1" applyBorder="1"/>
    <xf numFmtId="0" fontId="4" fillId="2" borderId="0" xfId="2" applyFont="1" applyFill="1" applyBorder="1"/>
    <xf numFmtId="0" fontId="26" fillId="7" borderId="23" xfId="2" applyFont="1" applyFill="1" applyBorder="1"/>
    <xf numFmtId="0" fontId="26" fillId="3" borderId="25" xfId="2" applyFont="1" applyFill="1" applyBorder="1"/>
    <xf numFmtId="0" fontId="48" fillId="2" borderId="0" xfId="2" applyFont="1" applyFill="1" applyBorder="1"/>
    <xf numFmtId="0" fontId="4" fillId="2" borderId="26" xfId="2" applyFont="1" applyFill="1" applyBorder="1" applyAlignment="1">
      <alignment horizontal="center" vertical="center"/>
    </xf>
    <xf numFmtId="0" fontId="4" fillId="2" borderId="26" xfId="2" applyFont="1" applyFill="1" applyBorder="1"/>
    <xf numFmtId="0" fontId="49" fillId="2" borderId="0" xfId="1" applyFont="1" applyFill="1" applyBorder="1" applyAlignment="1" applyProtection="1">
      <alignment horizontal="left"/>
    </xf>
    <xf numFmtId="0" fontId="45" fillId="2" borderId="25" xfId="2" applyFont="1" applyFill="1" applyBorder="1" applyAlignment="1">
      <alignment vertical="top" wrapText="1"/>
    </xf>
    <xf numFmtId="0" fontId="4" fillId="2" borderId="0" xfId="2" applyFont="1" applyFill="1" applyBorder="1" applyAlignment="1">
      <alignment horizontal="center" vertical="center"/>
    </xf>
    <xf numFmtId="0" fontId="49" fillId="2" borderId="24" xfId="1" applyFont="1" applyFill="1" applyBorder="1" applyAlignment="1" applyProtection="1">
      <alignment wrapText="1"/>
    </xf>
    <xf numFmtId="0" fontId="49" fillId="2" borderId="0" xfId="1" applyFont="1" applyFill="1" applyBorder="1" applyAlignment="1" applyProtection="1">
      <alignment horizontal="left" wrapText="1"/>
    </xf>
    <xf numFmtId="0" fontId="48" fillId="3" borderId="0" xfId="2" applyFont="1" applyFill="1" applyBorder="1"/>
    <xf numFmtId="0" fontId="48" fillId="3" borderId="24" xfId="2" applyFont="1" applyFill="1" applyBorder="1"/>
    <xf numFmtId="0" fontId="4" fillId="2" borderId="26" xfId="2" applyFont="1" applyFill="1" applyBorder="1" applyAlignment="1">
      <alignment vertical="top" wrapText="1"/>
    </xf>
    <xf numFmtId="0" fontId="40" fillId="6" borderId="47" xfId="2" applyFont="1" applyFill="1" applyBorder="1" applyAlignment="1" applyProtection="1">
      <alignment horizontal="center" vertical="top"/>
      <protection locked="0"/>
    </xf>
    <xf numFmtId="0" fontId="40" fillId="6" borderId="49" xfId="2" applyFont="1" applyFill="1" applyBorder="1" applyAlignment="1" applyProtection="1">
      <alignment horizontal="center" vertical="top"/>
      <protection locked="0"/>
    </xf>
    <xf numFmtId="0" fontId="0" fillId="10" borderId="11" xfId="0" applyFill="1" applyBorder="1" applyAlignment="1" applyProtection="1">
      <alignment horizontal="center" vertical="center"/>
      <protection locked="0"/>
    </xf>
    <xf numFmtId="0" fontId="42" fillId="2" borderId="25" xfId="2" applyFont="1" applyFill="1" applyBorder="1" applyAlignment="1">
      <alignment vertical="top" wrapText="1"/>
    </xf>
    <xf numFmtId="0" fontId="17" fillId="2" borderId="25" xfId="1" applyFill="1" applyBorder="1" applyAlignment="1" applyProtection="1"/>
    <xf numFmtId="0" fontId="17" fillId="3" borderId="25" xfId="1" applyFill="1" applyBorder="1" applyAlignment="1" applyProtection="1"/>
    <xf numFmtId="0" fontId="17" fillId="3" borderId="25" xfId="1" applyFill="1" applyBorder="1" applyAlignment="1" applyProtection="1">
      <alignment horizontal="left"/>
    </xf>
    <xf numFmtId="0" fontId="48" fillId="2" borderId="0" xfId="2" applyFont="1" applyFill="1" applyBorder="1" applyAlignment="1">
      <alignment horizontal="right" vertical="center"/>
    </xf>
    <xf numFmtId="0" fontId="48" fillId="2" borderId="0" xfId="2" applyFont="1" applyFill="1" applyBorder="1"/>
    <xf numFmtId="0" fontId="49" fillId="2" borderId="0" xfId="1" applyFont="1" applyFill="1" applyBorder="1" applyAlignment="1" applyProtection="1"/>
    <xf numFmtId="0" fontId="31" fillId="0" borderId="0" xfId="0" applyFont="1"/>
    <xf numFmtId="0" fontId="0" fillId="5" borderId="1" xfId="0" applyFill="1" applyBorder="1" applyAlignment="1" applyProtection="1">
      <alignment horizontal="center" vertical="center"/>
      <protection locked="0"/>
    </xf>
    <xf numFmtId="0" fontId="17" fillId="5" borderId="0" xfId="1" applyFill="1" applyAlignment="1" applyProtection="1"/>
    <xf numFmtId="0" fontId="44" fillId="0" borderId="23" xfId="0" applyFont="1" applyBorder="1" applyAlignment="1">
      <alignment horizontal="center" vertical="center" wrapText="1"/>
    </xf>
    <xf numFmtId="0" fontId="44" fillId="0" borderId="24" xfId="0" applyFont="1" applyBorder="1" applyAlignment="1">
      <alignment horizontal="center" vertical="center" wrapText="1"/>
    </xf>
    <xf numFmtId="0" fontId="44" fillId="0" borderId="28" xfId="0" applyFont="1" applyBorder="1" applyAlignment="1">
      <alignment horizontal="center" vertical="center" wrapText="1"/>
    </xf>
    <xf numFmtId="0" fontId="44" fillId="0" borderId="25" xfId="0" applyFont="1" applyBorder="1" applyAlignment="1">
      <alignment horizontal="center" vertical="center" wrapText="1"/>
    </xf>
    <xf numFmtId="0" fontId="44" fillId="0" borderId="0" xfId="0" applyFont="1" applyBorder="1" applyAlignment="1">
      <alignment horizontal="center" vertical="center" wrapText="1"/>
    </xf>
    <xf numFmtId="0" fontId="44" fillId="0" borderId="29" xfId="0" applyFont="1" applyBorder="1" applyAlignment="1">
      <alignment horizontal="center" vertical="center" wrapText="1"/>
    </xf>
    <xf numFmtId="0" fontId="44" fillId="0" borderId="27" xfId="0" applyFont="1" applyBorder="1" applyAlignment="1">
      <alignment horizontal="center" vertical="center" wrapText="1"/>
    </xf>
    <xf numFmtId="0" fontId="44" fillId="0" borderId="26" xfId="0" applyFont="1" applyBorder="1" applyAlignment="1">
      <alignment horizontal="center" vertical="center" wrapText="1"/>
    </xf>
    <xf numFmtId="0" fontId="44" fillId="0" borderId="30" xfId="0" applyFont="1" applyBorder="1" applyAlignment="1">
      <alignment horizontal="center" vertical="center" wrapText="1"/>
    </xf>
    <xf numFmtId="0" fontId="17" fillId="12" borderId="0" xfId="1" applyFill="1" applyAlignment="1" applyProtection="1">
      <alignment horizontal="left"/>
    </xf>
    <xf numFmtId="0" fontId="43" fillId="2" borderId="25" xfId="0" applyFont="1" applyFill="1" applyBorder="1" applyAlignment="1">
      <alignment horizontal="left" vertical="top" wrapText="1"/>
    </xf>
    <xf numFmtId="0" fontId="43" fillId="2" borderId="0" xfId="0" applyFont="1" applyFill="1" applyBorder="1" applyAlignment="1">
      <alignment horizontal="left" vertical="top" wrapText="1"/>
    </xf>
    <xf numFmtId="0" fontId="26" fillId="5" borderId="50" xfId="2" applyFont="1" applyFill="1" applyBorder="1" applyAlignment="1">
      <alignment horizontal="left" wrapText="1"/>
    </xf>
    <xf numFmtId="0" fontId="4" fillId="5" borderId="51" xfId="2" applyFill="1" applyBorder="1" applyAlignment="1">
      <alignment horizontal="left" wrapText="1"/>
    </xf>
    <xf numFmtId="0" fontId="4" fillId="5" borderId="47" xfId="2" applyFill="1" applyBorder="1" applyAlignment="1">
      <alignment horizontal="left" wrapText="1"/>
    </xf>
    <xf numFmtId="0" fontId="47" fillId="2" borderId="25" xfId="2" applyFont="1" applyFill="1" applyBorder="1" applyAlignment="1">
      <alignment horizontal="left" vertical="top" wrapText="1"/>
    </xf>
    <xf numFmtId="0" fontId="50" fillId="5" borderId="45" xfId="2" applyFont="1" applyFill="1" applyBorder="1" applyAlignment="1">
      <alignment horizontal="left" vertical="top" wrapText="1"/>
    </xf>
    <xf numFmtId="0" fontId="50" fillId="5" borderId="46" xfId="2" applyFont="1" applyFill="1" applyBorder="1" applyAlignment="1">
      <alignment horizontal="left" vertical="top" wrapText="1"/>
    </xf>
    <xf numFmtId="0" fontId="50" fillId="5" borderId="48" xfId="2" applyFont="1" applyFill="1" applyBorder="1" applyAlignment="1">
      <alignment horizontal="left" vertical="top" wrapText="1"/>
    </xf>
    <xf numFmtId="0" fontId="17" fillId="2" borderId="0" xfId="1" applyFill="1" applyBorder="1" applyAlignment="1" applyProtection="1">
      <alignment horizontal="left" wrapText="1"/>
    </xf>
    <xf numFmtId="0" fontId="17" fillId="3" borderId="25" xfId="1" applyFill="1" applyBorder="1" applyAlignment="1" applyProtection="1">
      <alignment horizontal="left" wrapText="1"/>
    </xf>
    <xf numFmtId="0" fontId="17" fillId="3" borderId="25" xfId="1" applyFill="1" applyBorder="1" applyAlignment="1" applyProtection="1">
      <alignment horizontal="left" vertical="top" wrapText="1"/>
    </xf>
    <xf numFmtId="0" fontId="42" fillId="2" borderId="25" xfId="2" applyFont="1" applyFill="1" applyBorder="1" applyAlignment="1">
      <alignment horizontal="left" vertical="top" wrapText="1"/>
    </xf>
    <xf numFmtId="0" fontId="16" fillId="3" borderId="0" xfId="0" applyFont="1" applyFill="1" applyBorder="1" applyAlignment="1" applyProtection="1">
      <alignment horizontal="center" vertical="center"/>
    </xf>
    <xf numFmtId="0" fontId="20" fillId="4" borderId="23" xfId="0" applyFont="1" applyFill="1" applyBorder="1" applyAlignment="1" applyProtection="1">
      <alignment horizontal="left" vertical="center"/>
    </xf>
    <xf numFmtId="0" fontId="20" fillId="4" borderId="24" xfId="0" applyFont="1" applyFill="1" applyBorder="1" applyAlignment="1" applyProtection="1">
      <alignment horizontal="left" vertical="center"/>
    </xf>
    <xf numFmtId="0" fontId="4" fillId="2" borderId="6" xfId="0" applyFont="1" applyFill="1" applyBorder="1" applyAlignment="1">
      <alignment horizontal="left" vertical="center" wrapText="1"/>
    </xf>
    <xf numFmtId="0" fontId="4" fillId="2" borderId="0" xfId="0" applyFont="1" applyFill="1" applyAlignment="1">
      <alignment horizontal="left" vertical="center" wrapText="1"/>
    </xf>
    <xf numFmtId="0" fontId="47" fillId="2" borderId="24" xfId="1" applyFont="1" applyFill="1" applyBorder="1" applyAlignment="1" applyProtection="1">
      <alignment horizontal="left" wrapText="1"/>
    </xf>
    <xf numFmtId="0" fontId="47" fillId="2" borderId="0" xfId="1" applyFont="1" applyFill="1" applyBorder="1" applyAlignment="1" applyProtection="1">
      <alignment horizontal="left" wrapText="1"/>
    </xf>
    <xf numFmtId="0" fontId="42" fillId="2" borderId="26" xfId="2" applyFont="1" applyFill="1" applyBorder="1" applyAlignment="1">
      <alignment horizontal="left" vertical="top" wrapText="1"/>
    </xf>
    <xf numFmtId="0" fontId="52" fillId="2" borderId="26" xfId="2" applyFont="1" applyFill="1" applyBorder="1" applyAlignment="1">
      <alignment horizontal="left" vertical="top" wrapText="1"/>
    </xf>
    <xf numFmtId="0" fontId="49" fillId="2" borderId="0" xfId="1" applyFont="1" applyFill="1" applyBorder="1" applyAlignment="1" applyProtection="1">
      <alignment horizontal="left"/>
    </xf>
    <xf numFmtId="0" fontId="30" fillId="0" borderId="0" xfId="0" applyFont="1" applyAlignment="1">
      <alignment horizontal="center"/>
    </xf>
    <xf numFmtId="0" fontId="31" fillId="0" borderId="0" xfId="0" applyFont="1" applyAlignment="1">
      <alignment horizontal="center"/>
    </xf>
    <xf numFmtId="0" fontId="5" fillId="0" borderId="0" xfId="0" applyFont="1" applyAlignment="1">
      <alignment horizontal="center"/>
    </xf>
    <xf numFmtId="0" fontId="30" fillId="0" borderId="1" xfId="2" applyFont="1" applyBorder="1" applyAlignment="1">
      <alignment horizontal="center"/>
    </xf>
    <xf numFmtId="0" fontId="4" fillId="0" borderId="11" xfId="2" applyFont="1" applyBorder="1" applyAlignment="1">
      <alignment horizontal="center"/>
    </xf>
    <xf numFmtId="0" fontId="4" fillId="0" borderId="11" xfId="2" applyBorder="1" applyAlignment="1">
      <alignment horizontal="center"/>
    </xf>
    <xf numFmtId="0" fontId="31" fillId="0" borderId="0" xfId="2" applyFont="1" applyBorder="1" applyAlignment="1">
      <alignment horizontal="center"/>
    </xf>
    <xf numFmtId="2" fontId="4" fillId="0" borderId="0" xfId="2" applyNumberFormat="1" applyFont="1" applyBorder="1" applyAlignment="1">
      <alignment horizontal="center"/>
    </xf>
    <xf numFmtId="2" fontId="4" fillId="0" borderId="0" xfId="2" applyNumberFormat="1" applyBorder="1" applyAlignment="1">
      <alignment horizontal="center"/>
    </xf>
  </cellXfs>
  <cellStyles count="16">
    <cellStyle name="ENTER VALUE" xfId="5"/>
    <cellStyle name="ENTER VALUE 2" xfId="9"/>
    <cellStyle name="ENTER VALUE 3" xfId="8"/>
    <cellStyle name="ENTER VALUE 4" xfId="7"/>
    <cellStyle name="Hipervínculo" xfId="1" builtinId="8"/>
    <cellStyle name="Normal" xfId="0" builtinId="0"/>
    <cellStyle name="Normal 2" xfId="2"/>
    <cellStyle name="Normal 3" xfId="10"/>
    <cellStyle name="Normal 3 2" xfId="11"/>
    <cellStyle name="Normal 3 2 2" xfId="15"/>
    <cellStyle name="Normal 3 3" xfId="14"/>
    <cellStyle name="Normal 4" xfId="13"/>
    <cellStyle name="Normal 5" xfId="12"/>
    <cellStyle name="Style 1" xfId="3"/>
    <cellStyle name="Style 2" xfId="4"/>
    <cellStyle name="UNIT" xfId="6"/>
  </cellStyles>
  <dxfs count="39">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fgColor theme="0"/>
          <bgColor theme="0"/>
        </patternFill>
      </fill>
    </dxf>
    <dxf>
      <fill>
        <patternFill>
          <bgColor rgb="FFFF0000"/>
        </patternFill>
      </fill>
    </dxf>
    <dxf>
      <font>
        <color theme="0"/>
      </font>
      <fill>
        <patternFill>
          <bgColor theme="0"/>
        </patternFill>
      </fill>
    </dxf>
    <dxf>
      <font>
        <color theme="0"/>
      </font>
      <fill>
        <patternFill patternType="solid">
          <bgColor theme="0"/>
        </patternFill>
      </fill>
      <border>
        <left/>
        <right/>
      </border>
    </dxf>
    <dxf>
      <fill>
        <patternFill>
          <bgColor rgb="FFFF0000"/>
        </patternFill>
      </fill>
    </dxf>
    <dxf>
      <fill>
        <patternFill>
          <bgColor rgb="FFFF0000"/>
        </patternFill>
      </fill>
    </dxf>
    <dxf>
      <fill>
        <patternFill>
          <bgColor rgb="FFFFFF00"/>
        </patternFill>
      </fill>
    </dxf>
    <dxf>
      <fill>
        <patternFill>
          <bgColor rgb="FFFF0000"/>
        </patternFill>
      </fill>
    </dxf>
    <dxf>
      <font>
        <color theme="0"/>
      </font>
      <fill>
        <patternFill>
          <fgColor theme="0"/>
          <bgColor theme="0"/>
        </patternFill>
      </fill>
    </dxf>
    <dxf>
      <font>
        <strike val="0"/>
        <color theme="0"/>
      </font>
      <fill>
        <patternFill patternType="none">
          <bgColor auto="1"/>
        </patternFill>
      </fill>
    </dxf>
    <dxf>
      <font>
        <strike/>
        <color theme="0" tint="-0.24994659260841701"/>
      </font>
      <fill>
        <patternFill patternType="none">
          <bgColor auto="1"/>
        </patternFill>
      </fill>
    </dxf>
    <dxf>
      <font>
        <color theme="0"/>
      </font>
      <fill>
        <patternFill patternType="solid">
          <bgColor theme="0"/>
        </patternFill>
      </fill>
      <border>
        <left/>
        <right/>
      </border>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theme="5" tint="-0.24994659260841701"/>
        </patternFill>
      </fill>
    </dxf>
    <dxf>
      <fill>
        <patternFill>
          <bgColor rgb="FFFF0000"/>
        </patternFill>
      </fill>
    </dxf>
    <dxf>
      <font>
        <color theme="0"/>
      </font>
    </dxf>
    <dxf>
      <font>
        <color theme="0"/>
      </font>
      <fill>
        <patternFill>
          <bgColor theme="0"/>
        </patternFill>
      </fill>
      <border>
        <left/>
        <right/>
        <top style="thin">
          <color auto="1"/>
        </top>
        <bottom/>
        <vertical/>
        <horizontal/>
      </border>
    </dxf>
    <dxf>
      <font>
        <color theme="0"/>
      </font>
    </dxf>
    <dxf>
      <font>
        <color theme="0"/>
      </font>
    </dxf>
    <dxf>
      <fill>
        <patternFill>
          <bgColor indexed="10"/>
        </patternFill>
      </fill>
    </dxf>
    <dxf>
      <fill>
        <patternFill>
          <bgColor indexed="10"/>
        </patternFill>
      </fill>
    </dxf>
    <dxf>
      <fill>
        <patternFill>
          <bgColor indexed="10"/>
        </patternFill>
      </fill>
    </dxf>
    <dxf>
      <font>
        <condense val="0"/>
        <extend val="0"/>
        <color indexed="9"/>
      </font>
      <fill>
        <patternFill>
          <bgColor indexed="9"/>
        </patternFill>
      </fill>
      <border>
        <left/>
        <right/>
        <top style="thin">
          <color indexed="64"/>
        </top>
        <bottom/>
      </border>
    </dxf>
    <dxf>
      <font>
        <condense val="0"/>
        <extend val="0"/>
        <color indexed="9"/>
      </font>
      <fill>
        <patternFill>
          <bgColor indexed="9"/>
        </patternFill>
      </fill>
      <border>
        <left/>
        <right/>
        <top style="thin">
          <color auto="1"/>
        </top>
        <bottom style="thin">
          <color auto="1"/>
        </bottom>
      </border>
    </dxf>
    <dxf>
      <font>
        <condense val="0"/>
        <extend val="0"/>
        <color indexed="9"/>
      </font>
      <fill>
        <patternFill>
          <bgColor indexed="9"/>
        </patternFill>
      </fill>
      <border>
        <left/>
        <right/>
        <top/>
        <bottom style="thin">
          <color auto="1"/>
        </bottom>
      </border>
    </dxf>
    <dxf>
      <font>
        <condense val="0"/>
        <extend val="0"/>
        <color indexed="9"/>
      </font>
      <fill>
        <patternFill>
          <bgColor indexed="9"/>
        </patternFill>
      </fill>
      <border>
        <left/>
        <right/>
        <top/>
        <bottom/>
      </border>
    </dxf>
    <dxf>
      <font>
        <condense val="0"/>
        <extend val="0"/>
        <color indexed="9"/>
      </font>
      <fill>
        <patternFill>
          <bgColor indexed="9"/>
        </patternFill>
      </fill>
      <border>
        <left/>
        <right/>
        <top style="thin">
          <color auto="1"/>
        </top>
        <bottom style="thin">
          <color auto="1"/>
        </bottom>
      </border>
    </dxf>
    <dxf>
      <fill>
        <patternFill>
          <bgColor indexed="10"/>
        </patternFill>
      </fill>
    </dxf>
  </dxfs>
  <tableStyles count="0" defaultTableStyle="TableStyleMedium9" defaultPivotStyle="PivotStyleLight16"/>
  <colors>
    <mruColors>
      <color rgb="FF0053FA"/>
      <color rgb="FFFF505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267237229923697"/>
          <c:y val="0.10613723813134238"/>
          <c:w val="0.83144069779259888"/>
          <c:h val="0.76916929287639557"/>
        </c:manualLayout>
      </c:layout>
      <c:scatterChart>
        <c:scatterStyle val="lineMarker"/>
        <c:varyColors val="0"/>
        <c:ser>
          <c:idx val="3"/>
          <c:order val="0"/>
          <c:tx>
            <c:v>Temp Derated FET SOA (t = Tfault)</c:v>
          </c:tx>
          <c:spPr>
            <a:ln w="25400">
              <a:solidFill>
                <a:srgbClr val="008000"/>
              </a:solidFill>
              <a:prstDash val="solid"/>
            </a:ln>
          </c:spPr>
          <c:marker>
            <c:symbol val="none"/>
          </c:marker>
          <c:xVal>
            <c:numRef>
              <c:f>SOA!$B$39:$B$43</c:f>
              <c:numCache>
                <c:formatCode>General</c:formatCode>
                <c:ptCount val="5"/>
                <c:pt idx="0">
                  <c:v>1</c:v>
                </c:pt>
                <c:pt idx="1">
                  <c:v>1.2</c:v>
                </c:pt>
                <c:pt idx="2">
                  <c:v>30</c:v>
                </c:pt>
              </c:numCache>
            </c:numRef>
          </c:xVal>
          <c:yVal>
            <c:numRef>
              <c:f>SOA!$C$39:$C$43</c:f>
              <c:numCache>
                <c:formatCode>General</c:formatCode>
                <c:ptCount val="5"/>
                <c:pt idx="0">
                  <c:v>528.42416828233786</c:v>
                </c:pt>
                <c:pt idx="1">
                  <c:v>440.3534735686149</c:v>
                </c:pt>
                <c:pt idx="2">
                  <c:v>17.614138942744596</c:v>
                </c:pt>
              </c:numCache>
            </c:numRef>
          </c:yVal>
          <c:smooth val="0"/>
          <c:extLst>
            <c:ext xmlns:c16="http://schemas.microsoft.com/office/drawing/2014/chart" uri="{C3380CC4-5D6E-409C-BE32-E72D297353CC}">
              <c16:uniqueId val="{00000000-5246-432A-87E3-7B5817CEA325}"/>
            </c:ext>
          </c:extLst>
        </c:ser>
        <c:ser>
          <c:idx val="1"/>
          <c:order val="1"/>
          <c:tx>
            <c:v>Typ Device SOA Limit</c:v>
          </c:tx>
          <c:spPr>
            <a:ln w="25400">
              <a:solidFill>
                <a:srgbClr val="FF0000"/>
              </a:solidFill>
              <a:prstDash val="solid"/>
            </a:ln>
          </c:spPr>
          <c:marker>
            <c:symbol val="none"/>
          </c:marker>
          <c:xVal>
            <c:numRef>
              <c:f>Equations!$R$194:$R$213</c:f>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xVal>
          <c:yVal>
            <c:numRef>
              <c:f>Equations!$T$194:$T$213</c:f>
              <c:numCache>
                <c:formatCode>0.00</c:formatCode>
                <c:ptCount val="20"/>
                <c:pt idx="0">
                  <c:v>16.666666666666668</c:v>
                </c:pt>
                <c:pt idx="1">
                  <c:v>16.666666666666668</c:v>
                </c:pt>
                <c:pt idx="2">
                  <c:v>16.666666666666668</c:v>
                </c:pt>
                <c:pt idx="3">
                  <c:v>16.666666666666668</c:v>
                </c:pt>
                <c:pt idx="4">
                  <c:v>16.666666666666668</c:v>
                </c:pt>
                <c:pt idx="5">
                  <c:v>16.666666666666668</c:v>
                </c:pt>
                <c:pt idx="6">
                  <c:v>16.666666666666668</c:v>
                </c:pt>
                <c:pt idx="7">
                  <c:v>16.666666666666668</c:v>
                </c:pt>
                <c:pt idx="8">
                  <c:v>16.666666666666668</c:v>
                </c:pt>
                <c:pt idx="9">
                  <c:v>16.666666666666668</c:v>
                </c:pt>
                <c:pt idx="10">
                  <c:v>16.666666666666668</c:v>
                </c:pt>
                <c:pt idx="11">
                  <c:v>15.689805269186708</c:v>
                </c:pt>
                <c:pt idx="12">
                  <c:v>14.590589479249271</c:v>
                </c:pt>
                <c:pt idx="13">
                  <c:v>5.0000000000000003E-10</c:v>
                </c:pt>
                <c:pt idx="14">
                  <c:v>5.0000000000000003E-10</c:v>
                </c:pt>
                <c:pt idx="15">
                  <c:v>5.0000000000000003E-10</c:v>
                </c:pt>
                <c:pt idx="16">
                  <c:v>5.0000000000000003E-10</c:v>
                </c:pt>
                <c:pt idx="17">
                  <c:v>5.0000000000000003E-10</c:v>
                </c:pt>
                <c:pt idx="18">
                  <c:v>5.0000000000000003E-10</c:v>
                </c:pt>
                <c:pt idx="19">
                  <c:v>5.0000000000000003E-10</c:v>
                </c:pt>
              </c:numCache>
            </c:numRef>
          </c:yVal>
          <c:smooth val="0"/>
          <c:extLst>
            <c:ext xmlns:c16="http://schemas.microsoft.com/office/drawing/2014/chart" uri="{C3380CC4-5D6E-409C-BE32-E72D297353CC}">
              <c16:uniqueId val="{00000001-5246-432A-87E3-7B5817CEA325}"/>
            </c:ext>
          </c:extLst>
        </c:ser>
        <c:dLbls>
          <c:showLegendKey val="0"/>
          <c:showVal val="0"/>
          <c:showCatName val="0"/>
          <c:showSerName val="0"/>
          <c:showPercent val="0"/>
          <c:showBubbleSize val="0"/>
        </c:dLbls>
        <c:axId val="177332224"/>
        <c:axId val="177334528"/>
      </c:scatterChart>
      <c:valAx>
        <c:axId val="177332224"/>
        <c:scaling>
          <c:logBase val="10"/>
          <c:orientation val="minMax"/>
          <c:max val="50"/>
          <c:min val="1"/>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125" b="0" i="0" u="none" strike="noStrike" baseline="0">
                    <a:solidFill>
                      <a:srgbClr val="000000"/>
                    </a:solidFill>
                    <a:latin typeface="Calibri"/>
                    <a:ea typeface="Calibri"/>
                    <a:cs typeface="Calibri"/>
                  </a:defRPr>
                </a:pPr>
                <a:r>
                  <a:rPr lang="en-US" sz="900" b="1" i="0" u="none" strike="noStrike" baseline="0">
                    <a:solidFill>
                      <a:srgbClr val="000000"/>
                    </a:solidFill>
                    <a:latin typeface="Arial"/>
                    <a:cs typeface="Arial"/>
                  </a:rPr>
                  <a:t>V</a:t>
                </a:r>
                <a:r>
                  <a:rPr lang="en-US" sz="900" b="1" i="0" u="none" strike="noStrike" baseline="-25000">
                    <a:solidFill>
                      <a:srgbClr val="000000"/>
                    </a:solidFill>
                    <a:latin typeface="Arial"/>
                    <a:cs typeface="Arial"/>
                  </a:rPr>
                  <a:t>DS</a:t>
                </a:r>
                <a:r>
                  <a:rPr lang="en-US" sz="900" b="1" i="0" u="none" strike="noStrike" baseline="0">
                    <a:solidFill>
                      <a:srgbClr val="000000"/>
                    </a:solidFill>
                    <a:latin typeface="Arial"/>
                    <a:cs typeface="Arial"/>
                  </a:rPr>
                  <a:t> - Drain-to-Source Voltage - V</a:t>
                </a:r>
              </a:p>
            </c:rich>
          </c:tx>
          <c:layout>
            <c:manualLayout>
              <c:xMode val="edge"/>
              <c:yMode val="edge"/>
              <c:x val="0.37459064370200507"/>
              <c:y val="0.94029461520736024"/>
            </c:manualLayout>
          </c:layout>
          <c:overlay val="0"/>
          <c:spPr>
            <a:noFill/>
            <a:ln w="25400">
              <a:noFill/>
            </a:ln>
          </c:spPr>
        </c:title>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s-ES"/>
          </a:p>
        </c:txPr>
        <c:crossAx val="177334528"/>
        <c:crossesAt val="0.1"/>
        <c:crossBetween val="midCat"/>
      </c:valAx>
      <c:valAx>
        <c:axId val="177334528"/>
        <c:scaling>
          <c:logBase val="10"/>
          <c:orientation val="minMax"/>
          <c:max val="1000"/>
          <c:min val="1"/>
        </c:scaling>
        <c:delete val="0"/>
        <c:axPos val="l"/>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125" b="0" i="0" u="none" strike="noStrike" baseline="0">
                    <a:solidFill>
                      <a:srgbClr val="000000"/>
                    </a:solidFill>
                    <a:latin typeface="Calibri"/>
                    <a:ea typeface="Calibri"/>
                    <a:cs typeface="Calibri"/>
                  </a:defRPr>
                </a:pPr>
                <a:r>
                  <a:rPr lang="en-US" sz="900" b="1" i="0" u="none" strike="noStrike" baseline="0">
                    <a:solidFill>
                      <a:srgbClr val="000000"/>
                    </a:solidFill>
                    <a:latin typeface="Arial"/>
                    <a:cs typeface="Arial"/>
                  </a:rPr>
                  <a:t>I</a:t>
                </a:r>
                <a:r>
                  <a:rPr lang="en-US" sz="900" b="1" i="0" u="none" strike="noStrike" baseline="-25000">
                    <a:solidFill>
                      <a:srgbClr val="000000"/>
                    </a:solidFill>
                    <a:latin typeface="Arial"/>
                    <a:cs typeface="Arial"/>
                  </a:rPr>
                  <a:t>DS</a:t>
                </a:r>
                <a:r>
                  <a:rPr lang="en-US" sz="900" b="1" i="0" u="none" strike="noStrike" baseline="0">
                    <a:solidFill>
                      <a:srgbClr val="000000"/>
                    </a:solidFill>
                    <a:latin typeface="Arial"/>
                    <a:cs typeface="Arial"/>
                  </a:rPr>
                  <a:t> - Drain-to-Source Current - A</a:t>
                </a:r>
              </a:p>
            </c:rich>
          </c:tx>
          <c:layout>
            <c:manualLayout>
              <c:xMode val="edge"/>
              <c:yMode val="edge"/>
              <c:x val="2.0103885280763262E-2"/>
              <c:y val="0.21497860712616401"/>
            </c:manualLayout>
          </c:layout>
          <c:overlay val="0"/>
          <c:spPr>
            <a:noFill/>
            <a:ln w="25400">
              <a:noFill/>
            </a:ln>
          </c:spPr>
        </c:title>
        <c:numFmt formatCode="General" sourceLinked="0"/>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s-ES"/>
          </a:p>
        </c:txPr>
        <c:crossAx val="177332224"/>
        <c:crosses val="autoZero"/>
        <c:crossBetween val="midCat"/>
      </c:valAx>
      <c:spPr>
        <a:solidFill>
          <a:srgbClr val="FFFFFF"/>
        </a:solidFill>
        <a:ln w="12700">
          <a:solidFill>
            <a:srgbClr val="808080"/>
          </a:solidFill>
          <a:prstDash val="solid"/>
        </a:ln>
      </c:spPr>
    </c:plotArea>
    <c:legend>
      <c:legendPos val="r"/>
      <c:layout>
        <c:manualLayout>
          <c:xMode val="edge"/>
          <c:yMode val="edge"/>
          <c:x val="0.43686657794363282"/>
          <c:y val="5.8933081466572397E-2"/>
          <c:w val="0.5171341264823649"/>
          <c:h val="0.22644573436605386"/>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legend>
    <c:plotVisOnly val="0"/>
    <c:dispBlanksAs val="gap"/>
    <c:showDLblsOverMax val="0"/>
  </c:chart>
  <c:spPr>
    <a:solidFill>
      <a:srgbClr val="FFFFFF"/>
    </a:solidFill>
    <a:ln w="12700">
      <a:solidFill>
        <a:srgbClr val="000000"/>
      </a:solidFill>
      <a:prstDash val="solid"/>
    </a:ln>
  </c:spPr>
  <c:txPr>
    <a:bodyPr/>
    <a:lstStyle/>
    <a:p>
      <a:pPr>
        <a:defRPr sz="950" b="0" i="0" u="none" strike="noStrike" baseline="0">
          <a:solidFill>
            <a:srgbClr val="000000"/>
          </a:solidFill>
          <a:latin typeface="Arial"/>
          <a:ea typeface="Arial"/>
          <a:cs typeface="Arial"/>
        </a:defRPr>
      </a:pPr>
      <a:endParaRPr lang="es-ES"/>
    </a:p>
  </c:txPr>
  <c:printSettings>
    <c:headerFooter alignWithMargins="0"/>
    <c:pageMargins b="1" l="0.75000000000000233" r="0.75000000000000233"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600"/>
              <a:t>I</a:t>
            </a:r>
            <a:r>
              <a:rPr lang="en-US" sz="1600" baseline="-25000"/>
              <a:t>LOAD</a:t>
            </a:r>
            <a:r>
              <a:rPr lang="en-US" sz="1600" baseline="0"/>
              <a:t> and I</a:t>
            </a:r>
            <a:r>
              <a:rPr lang="en-US" sz="1600" baseline="-25000"/>
              <a:t>FET</a:t>
            </a:r>
            <a:r>
              <a:rPr lang="en-US" sz="1600" baseline="0"/>
              <a:t> vs Vout </a:t>
            </a:r>
            <a:r>
              <a:rPr lang="en-US" sz="1600" b="1" i="0" baseline="0">
                <a:effectLst/>
              </a:rPr>
              <a:t>(V</a:t>
            </a:r>
            <a:r>
              <a:rPr lang="en-US" sz="1600" b="1" i="0" baseline="-25000">
                <a:effectLst/>
              </a:rPr>
              <a:t>IN</a:t>
            </a:r>
            <a:r>
              <a:rPr lang="en-US" sz="1600" b="1" i="0" baseline="0">
                <a:effectLst/>
              </a:rPr>
              <a:t> = V</a:t>
            </a:r>
            <a:r>
              <a:rPr lang="en-US" sz="1600" b="1" i="0" baseline="-25000">
                <a:effectLst/>
              </a:rPr>
              <a:t>INMAX</a:t>
            </a:r>
            <a:r>
              <a:rPr lang="en-US" sz="1600" b="1" i="0" baseline="0">
                <a:effectLst/>
              </a:rPr>
              <a:t>)</a:t>
            </a:r>
            <a:r>
              <a:rPr lang="en-US" sz="1600" baseline="0"/>
              <a:t>                                               </a:t>
            </a:r>
            <a:endParaRPr lang="en-US" sz="1600" baseline="-25000"/>
          </a:p>
        </c:rich>
      </c:tx>
      <c:layout>
        <c:manualLayout>
          <c:xMode val="edge"/>
          <c:yMode val="edge"/>
          <c:x val="0.16494063286351637"/>
          <c:y val="3.0591748387251084E-2"/>
        </c:manualLayout>
      </c:layout>
      <c:overlay val="1"/>
      <c:spPr>
        <a:solidFill>
          <a:schemeClr val="bg1"/>
        </a:solidFill>
      </c:spPr>
    </c:title>
    <c:autoTitleDeleted val="0"/>
    <c:plotArea>
      <c:layout>
        <c:manualLayout>
          <c:layoutTarget val="inner"/>
          <c:xMode val="edge"/>
          <c:yMode val="edge"/>
          <c:x val="0.15203109554174482"/>
          <c:y val="0.13835811263066838"/>
          <c:w val="0.76865751103613689"/>
          <c:h val="0.70165890209112658"/>
        </c:manualLayout>
      </c:layout>
      <c:scatterChart>
        <c:scatterStyle val="smoothMarker"/>
        <c:varyColors val="0"/>
        <c:ser>
          <c:idx val="0"/>
          <c:order val="0"/>
          <c:tx>
            <c:strRef>
              <c:f>Start_up!$C$7</c:f>
              <c:strCache>
                <c:ptCount val="1"/>
                <c:pt idx="0">
                  <c:v>ILOAD</c:v>
                </c:pt>
              </c:strCache>
            </c:strRef>
          </c:tx>
          <c:marker>
            <c:symbol val="none"/>
          </c:marker>
          <c:xVal>
            <c:numRef>
              <c:f>Start_up!$B$10:$B$111</c:f>
              <c:numCache>
                <c:formatCode>0.00</c:formatCode>
                <c:ptCount val="102"/>
                <c:pt idx="0">
                  <c:v>0</c:v>
                </c:pt>
                <c:pt idx="1">
                  <c:v>0.125</c:v>
                </c:pt>
                <c:pt idx="2">
                  <c:v>0.25</c:v>
                </c:pt>
                <c:pt idx="3">
                  <c:v>0.375</c:v>
                </c:pt>
                <c:pt idx="4">
                  <c:v>0.5</c:v>
                </c:pt>
                <c:pt idx="5">
                  <c:v>0.625</c:v>
                </c:pt>
                <c:pt idx="6">
                  <c:v>0.75</c:v>
                </c:pt>
                <c:pt idx="7">
                  <c:v>0.875</c:v>
                </c:pt>
                <c:pt idx="8">
                  <c:v>1</c:v>
                </c:pt>
                <c:pt idx="9">
                  <c:v>1.125</c:v>
                </c:pt>
                <c:pt idx="10">
                  <c:v>1.25</c:v>
                </c:pt>
                <c:pt idx="11">
                  <c:v>1.375</c:v>
                </c:pt>
                <c:pt idx="12">
                  <c:v>1.5</c:v>
                </c:pt>
                <c:pt idx="13">
                  <c:v>1.625</c:v>
                </c:pt>
                <c:pt idx="14">
                  <c:v>1.75</c:v>
                </c:pt>
                <c:pt idx="15">
                  <c:v>1.8749999999999998</c:v>
                </c:pt>
                <c:pt idx="16">
                  <c:v>2</c:v>
                </c:pt>
                <c:pt idx="17">
                  <c:v>2.125</c:v>
                </c:pt>
                <c:pt idx="18">
                  <c:v>2.25</c:v>
                </c:pt>
                <c:pt idx="19">
                  <c:v>2.375</c:v>
                </c:pt>
                <c:pt idx="20">
                  <c:v>2.5</c:v>
                </c:pt>
                <c:pt idx="21">
                  <c:v>2.625</c:v>
                </c:pt>
                <c:pt idx="22">
                  <c:v>2.75</c:v>
                </c:pt>
                <c:pt idx="23">
                  <c:v>2.875</c:v>
                </c:pt>
                <c:pt idx="24">
                  <c:v>3</c:v>
                </c:pt>
                <c:pt idx="25">
                  <c:v>3.125</c:v>
                </c:pt>
                <c:pt idx="26">
                  <c:v>3.25</c:v>
                </c:pt>
                <c:pt idx="27">
                  <c:v>3.3750000000000004</c:v>
                </c:pt>
                <c:pt idx="28">
                  <c:v>3.5</c:v>
                </c:pt>
                <c:pt idx="29">
                  <c:v>3.625</c:v>
                </c:pt>
                <c:pt idx="30">
                  <c:v>3.7499999999999996</c:v>
                </c:pt>
                <c:pt idx="31">
                  <c:v>3.875</c:v>
                </c:pt>
                <c:pt idx="32">
                  <c:v>4</c:v>
                </c:pt>
                <c:pt idx="33">
                  <c:v>4.125</c:v>
                </c:pt>
                <c:pt idx="34">
                  <c:v>4.25</c:v>
                </c:pt>
                <c:pt idx="35">
                  <c:v>4.375</c:v>
                </c:pt>
                <c:pt idx="36">
                  <c:v>4.5</c:v>
                </c:pt>
                <c:pt idx="37">
                  <c:v>4.625</c:v>
                </c:pt>
                <c:pt idx="38">
                  <c:v>4.75</c:v>
                </c:pt>
                <c:pt idx="39">
                  <c:v>4.875</c:v>
                </c:pt>
                <c:pt idx="40">
                  <c:v>5</c:v>
                </c:pt>
                <c:pt idx="41">
                  <c:v>5.125</c:v>
                </c:pt>
                <c:pt idx="42">
                  <c:v>5.25</c:v>
                </c:pt>
                <c:pt idx="43">
                  <c:v>5.375</c:v>
                </c:pt>
                <c:pt idx="44">
                  <c:v>5.5</c:v>
                </c:pt>
                <c:pt idx="45">
                  <c:v>5.625</c:v>
                </c:pt>
                <c:pt idx="46">
                  <c:v>5.75</c:v>
                </c:pt>
                <c:pt idx="47">
                  <c:v>5.875</c:v>
                </c:pt>
                <c:pt idx="48">
                  <c:v>6</c:v>
                </c:pt>
                <c:pt idx="49">
                  <c:v>6.125</c:v>
                </c:pt>
                <c:pt idx="50">
                  <c:v>6.25</c:v>
                </c:pt>
                <c:pt idx="51">
                  <c:v>6.375</c:v>
                </c:pt>
                <c:pt idx="52">
                  <c:v>6.5</c:v>
                </c:pt>
                <c:pt idx="53">
                  <c:v>6.625</c:v>
                </c:pt>
                <c:pt idx="54">
                  <c:v>6.7500000000000009</c:v>
                </c:pt>
                <c:pt idx="55">
                  <c:v>6.875</c:v>
                </c:pt>
                <c:pt idx="56">
                  <c:v>7</c:v>
                </c:pt>
                <c:pt idx="57">
                  <c:v>7.1250000000000009</c:v>
                </c:pt>
                <c:pt idx="58">
                  <c:v>7.25</c:v>
                </c:pt>
                <c:pt idx="59">
                  <c:v>7.375</c:v>
                </c:pt>
                <c:pt idx="60">
                  <c:v>7.4999999999999991</c:v>
                </c:pt>
                <c:pt idx="61">
                  <c:v>7.625</c:v>
                </c:pt>
                <c:pt idx="62">
                  <c:v>7.75</c:v>
                </c:pt>
                <c:pt idx="63">
                  <c:v>7.8749999999999991</c:v>
                </c:pt>
                <c:pt idx="64">
                  <c:v>8</c:v>
                </c:pt>
                <c:pt idx="65">
                  <c:v>8.125</c:v>
                </c:pt>
                <c:pt idx="66">
                  <c:v>8.25</c:v>
                </c:pt>
                <c:pt idx="67">
                  <c:v>8.375</c:v>
                </c:pt>
                <c:pt idx="68">
                  <c:v>8.5</c:v>
                </c:pt>
                <c:pt idx="69">
                  <c:v>8.625</c:v>
                </c:pt>
                <c:pt idx="70">
                  <c:v>8.75</c:v>
                </c:pt>
                <c:pt idx="71">
                  <c:v>8.875</c:v>
                </c:pt>
                <c:pt idx="72">
                  <c:v>9</c:v>
                </c:pt>
                <c:pt idx="73">
                  <c:v>9.125</c:v>
                </c:pt>
                <c:pt idx="74">
                  <c:v>9.25</c:v>
                </c:pt>
                <c:pt idx="75">
                  <c:v>9.375</c:v>
                </c:pt>
                <c:pt idx="76">
                  <c:v>9.5</c:v>
                </c:pt>
                <c:pt idx="77">
                  <c:v>9.625</c:v>
                </c:pt>
                <c:pt idx="78">
                  <c:v>9.75</c:v>
                </c:pt>
                <c:pt idx="79">
                  <c:v>9.875</c:v>
                </c:pt>
                <c:pt idx="80">
                  <c:v>10</c:v>
                </c:pt>
                <c:pt idx="81">
                  <c:v>10.125</c:v>
                </c:pt>
                <c:pt idx="82">
                  <c:v>10.25</c:v>
                </c:pt>
                <c:pt idx="83">
                  <c:v>10.375</c:v>
                </c:pt>
                <c:pt idx="84">
                  <c:v>10.5</c:v>
                </c:pt>
                <c:pt idx="85">
                  <c:v>10.625</c:v>
                </c:pt>
                <c:pt idx="86">
                  <c:v>10.75</c:v>
                </c:pt>
                <c:pt idx="87">
                  <c:v>10.875</c:v>
                </c:pt>
                <c:pt idx="88">
                  <c:v>11</c:v>
                </c:pt>
                <c:pt idx="89">
                  <c:v>11.125</c:v>
                </c:pt>
                <c:pt idx="90">
                  <c:v>11.25</c:v>
                </c:pt>
                <c:pt idx="91">
                  <c:v>11.375</c:v>
                </c:pt>
                <c:pt idx="92">
                  <c:v>11.5</c:v>
                </c:pt>
                <c:pt idx="93">
                  <c:v>11.625</c:v>
                </c:pt>
                <c:pt idx="94">
                  <c:v>11.75</c:v>
                </c:pt>
                <c:pt idx="95">
                  <c:v>11.875</c:v>
                </c:pt>
                <c:pt idx="96">
                  <c:v>12</c:v>
                </c:pt>
                <c:pt idx="97">
                  <c:v>12.125</c:v>
                </c:pt>
                <c:pt idx="98">
                  <c:v>12.25</c:v>
                </c:pt>
                <c:pt idx="99">
                  <c:v>12.375</c:v>
                </c:pt>
                <c:pt idx="100">
                  <c:v>12.5</c:v>
                </c:pt>
                <c:pt idx="101">
                  <c:v>12.625</c:v>
                </c:pt>
              </c:numCache>
            </c:numRef>
          </c:xVal>
          <c:yVal>
            <c:numRef>
              <c:f>Start_up!$C$10:$C$111</c:f>
              <c:numCache>
                <c:formatCode>0.000</c:formatCode>
                <c:ptCount val="10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6</c:v>
                </c:pt>
                <c:pt idx="97">
                  <c:v>6</c:v>
                </c:pt>
                <c:pt idx="98">
                  <c:v>6</c:v>
                </c:pt>
                <c:pt idx="99">
                  <c:v>6</c:v>
                </c:pt>
                <c:pt idx="100">
                  <c:v>6</c:v>
                </c:pt>
                <c:pt idx="101">
                  <c:v>6</c:v>
                </c:pt>
              </c:numCache>
            </c:numRef>
          </c:yVal>
          <c:smooth val="1"/>
          <c:extLst>
            <c:ext xmlns:c16="http://schemas.microsoft.com/office/drawing/2014/chart" uri="{C3380CC4-5D6E-409C-BE32-E72D297353CC}">
              <c16:uniqueId val="{00000000-1417-476B-A8AD-E2334CEFAC7F}"/>
            </c:ext>
          </c:extLst>
        </c:ser>
        <c:ser>
          <c:idx val="1"/>
          <c:order val="1"/>
          <c:tx>
            <c:strRef>
              <c:f>Start_up!$G$7</c:f>
              <c:strCache>
                <c:ptCount val="1"/>
                <c:pt idx="0">
                  <c:v>IFET</c:v>
                </c:pt>
              </c:strCache>
            </c:strRef>
          </c:tx>
          <c:marker>
            <c:symbol val="none"/>
          </c:marker>
          <c:xVal>
            <c:numRef>
              <c:f>Start_up!$B$10:$B$111</c:f>
              <c:numCache>
                <c:formatCode>0.00</c:formatCode>
                <c:ptCount val="102"/>
                <c:pt idx="0">
                  <c:v>0</c:v>
                </c:pt>
                <c:pt idx="1">
                  <c:v>0.125</c:v>
                </c:pt>
                <c:pt idx="2">
                  <c:v>0.25</c:v>
                </c:pt>
                <c:pt idx="3">
                  <c:v>0.375</c:v>
                </c:pt>
                <c:pt idx="4">
                  <c:v>0.5</c:v>
                </c:pt>
                <c:pt idx="5">
                  <c:v>0.625</c:v>
                </c:pt>
                <c:pt idx="6">
                  <c:v>0.75</c:v>
                </c:pt>
                <c:pt idx="7">
                  <c:v>0.875</c:v>
                </c:pt>
                <c:pt idx="8">
                  <c:v>1</c:v>
                </c:pt>
                <c:pt idx="9">
                  <c:v>1.125</c:v>
                </c:pt>
                <c:pt idx="10">
                  <c:v>1.25</c:v>
                </c:pt>
                <c:pt idx="11">
                  <c:v>1.375</c:v>
                </c:pt>
                <c:pt idx="12">
                  <c:v>1.5</c:v>
                </c:pt>
                <c:pt idx="13">
                  <c:v>1.625</c:v>
                </c:pt>
                <c:pt idx="14">
                  <c:v>1.75</c:v>
                </c:pt>
                <c:pt idx="15">
                  <c:v>1.8749999999999998</c:v>
                </c:pt>
                <c:pt idx="16">
                  <c:v>2</c:v>
                </c:pt>
                <c:pt idx="17">
                  <c:v>2.125</c:v>
                </c:pt>
                <c:pt idx="18">
                  <c:v>2.25</c:v>
                </c:pt>
                <c:pt idx="19">
                  <c:v>2.375</c:v>
                </c:pt>
                <c:pt idx="20">
                  <c:v>2.5</c:v>
                </c:pt>
                <c:pt idx="21">
                  <c:v>2.625</c:v>
                </c:pt>
                <c:pt idx="22">
                  <c:v>2.75</c:v>
                </c:pt>
                <c:pt idx="23">
                  <c:v>2.875</c:v>
                </c:pt>
                <c:pt idx="24">
                  <c:v>3</c:v>
                </c:pt>
                <c:pt idx="25">
                  <c:v>3.125</c:v>
                </c:pt>
                <c:pt idx="26">
                  <c:v>3.25</c:v>
                </c:pt>
                <c:pt idx="27">
                  <c:v>3.3750000000000004</c:v>
                </c:pt>
                <c:pt idx="28">
                  <c:v>3.5</c:v>
                </c:pt>
                <c:pt idx="29">
                  <c:v>3.625</c:v>
                </c:pt>
                <c:pt idx="30">
                  <c:v>3.7499999999999996</c:v>
                </c:pt>
                <c:pt idx="31">
                  <c:v>3.875</c:v>
                </c:pt>
                <c:pt idx="32">
                  <c:v>4</c:v>
                </c:pt>
                <c:pt idx="33">
                  <c:v>4.125</c:v>
                </c:pt>
                <c:pt idx="34">
                  <c:v>4.25</c:v>
                </c:pt>
                <c:pt idx="35">
                  <c:v>4.375</c:v>
                </c:pt>
                <c:pt idx="36">
                  <c:v>4.5</c:v>
                </c:pt>
                <c:pt idx="37">
                  <c:v>4.625</c:v>
                </c:pt>
                <c:pt idx="38">
                  <c:v>4.75</c:v>
                </c:pt>
                <c:pt idx="39">
                  <c:v>4.875</c:v>
                </c:pt>
                <c:pt idx="40">
                  <c:v>5</c:v>
                </c:pt>
                <c:pt idx="41">
                  <c:v>5.125</c:v>
                </c:pt>
                <c:pt idx="42">
                  <c:v>5.25</c:v>
                </c:pt>
                <c:pt idx="43">
                  <c:v>5.375</c:v>
                </c:pt>
                <c:pt idx="44">
                  <c:v>5.5</c:v>
                </c:pt>
                <c:pt idx="45">
                  <c:v>5.625</c:v>
                </c:pt>
                <c:pt idx="46">
                  <c:v>5.75</c:v>
                </c:pt>
                <c:pt idx="47">
                  <c:v>5.875</c:v>
                </c:pt>
                <c:pt idx="48">
                  <c:v>6</c:v>
                </c:pt>
                <c:pt idx="49">
                  <c:v>6.125</c:v>
                </c:pt>
                <c:pt idx="50">
                  <c:v>6.25</c:v>
                </c:pt>
                <c:pt idx="51">
                  <c:v>6.375</c:v>
                </c:pt>
                <c:pt idx="52">
                  <c:v>6.5</c:v>
                </c:pt>
                <c:pt idx="53">
                  <c:v>6.625</c:v>
                </c:pt>
                <c:pt idx="54">
                  <c:v>6.7500000000000009</c:v>
                </c:pt>
                <c:pt idx="55">
                  <c:v>6.875</c:v>
                </c:pt>
                <c:pt idx="56">
                  <c:v>7</c:v>
                </c:pt>
                <c:pt idx="57">
                  <c:v>7.1250000000000009</c:v>
                </c:pt>
                <c:pt idx="58">
                  <c:v>7.25</c:v>
                </c:pt>
                <c:pt idx="59">
                  <c:v>7.375</c:v>
                </c:pt>
                <c:pt idx="60">
                  <c:v>7.4999999999999991</c:v>
                </c:pt>
                <c:pt idx="61">
                  <c:v>7.625</c:v>
                </c:pt>
                <c:pt idx="62">
                  <c:v>7.75</c:v>
                </c:pt>
                <c:pt idx="63">
                  <c:v>7.8749999999999991</c:v>
                </c:pt>
                <c:pt idx="64">
                  <c:v>8</c:v>
                </c:pt>
                <c:pt idx="65">
                  <c:v>8.125</c:v>
                </c:pt>
                <c:pt idx="66">
                  <c:v>8.25</c:v>
                </c:pt>
                <c:pt idx="67">
                  <c:v>8.375</c:v>
                </c:pt>
                <c:pt idx="68">
                  <c:v>8.5</c:v>
                </c:pt>
                <c:pt idx="69">
                  <c:v>8.625</c:v>
                </c:pt>
                <c:pt idx="70">
                  <c:v>8.75</c:v>
                </c:pt>
                <c:pt idx="71">
                  <c:v>8.875</c:v>
                </c:pt>
                <c:pt idx="72">
                  <c:v>9</c:v>
                </c:pt>
                <c:pt idx="73">
                  <c:v>9.125</c:v>
                </c:pt>
                <c:pt idx="74">
                  <c:v>9.25</c:v>
                </c:pt>
                <c:pt idx="75">
                  <c:v>9.375</c:v>
                </c:pt>
                <c:pt idx="76">
                  <c:v>9.5</c:v>
                </c:pt>
                <c:pt idx="77">
                  <c:v>9.625</c:v>
                </c:pt>
                <c:pt idx="78">
                  <c:v>9.75</c:v>
                </c:pt>
                <c:pt idx="79">
                  <c:v>9.875</c:v>
                </c:pt>
                <c:pt idx="80">
                  <c:v>10</c:v>
                </c:pt>
                <c:pt idx="81">
                  <c:v>10.125</c:v>
                </c:pt>
                <c:pt idx="82">
                  <c:v>10.25</c:v>
                </c:pt>
                <c:pt idx="83">
                  <c:v>10.375</c:v>
                </c:pt>
                <c:pt idx="84">
                  <c:v>10.5</c:v>
                </c:pt>
                <c:pt idx="85">
                  <c:v>10.625</c:v>
                </c:pt>
                <c:pt idx="86">
                  <c:v>10.75</c:v>
                </c:pt>
                <c:pt idx="87">
                  <c:v>10.875</c:v>
                </c:pt>
                <c:pt idx="88">
                  <c:v>11</c:v>
                </c:pt>
                <c:pt idx="89">
                  <c:v>11.125</c:v>
                </c:pt>
                <c:pt idx="90">
                  <c:v>11.25</c:v>
                </c:pt>
                <c:pt idx="91">
                  <c:v>11.375</c:v>
                </c:pt>
                <c:pt idx="92">
                  <c:v>11.5</c:v>
                </c:pt>
                <c:pt idx="93">
                  <c:v>11.625</c:v>
                </c:pt>
                <c:pt idx="94">
                  <c:v>11.75</c:v>
                </c:pt>
                <c:pt idx="95">
                  <c:v>11.875</c:v>
                </c:pt>
                <c:pt idx="96">
                  <c:v>12</c:v>
                </c:pt>
                <c:pt idx="97">
                  <c:v>12.125</c:v>
                </c:pt>
                <c:pt idx="98">
                  <c:v>12.25</c:v>
                </c:pt>
                <c:pt idx="99">
                  <c:v>12.375</c:v>
                </c:pt>
                <c:pt idx="100">
                  <c:v>12.5</c:v>
                </c:pt>
                <c:pt idx="101">
                  <c:v>12.625</c:v>
                </c:pt>
              </c:numCache>
            </c:numRef>
          </c:xVal>
          <c:yVal>
            <c:numRef>
              <c:f>Start_up!$G$10:$G$112</c:f>
              <c:numCache>
                <c:formatCode>General</c:formatCode>
                <c:ptCount val="103"/>
                <c:pt idx="0">
                  <c:v>14.590589479249271</c:v>
                </c:pt>
                <c:pt idx="1">
                  <c:v>14.718653454775961</c:v>
                </c:pt>
                <c:pt idx="2">
                  <c:v>14.849228488646315</c:v>
                </c:pt>
                <c:pt idx="3">
                  <c:v>14.982389166751723</c:v>
                </c:pt>
                <c:pt idx="4">
                  <c:v>15.118213058419242</c:v>
                </c:pt>
                <c:pt idx="5">
                  <c:v>15.256780867090143</c:v>
                </c:pt>
                <c:pt idx="6">
                  <c:v>15.398176590223715</c:v>
                </c:pt>
                <c:pt idx="7">
                  <c:v>15.542487689092001</c:v>
                </c:pt>
                <c:pt idx="8">
                  <c:v>15.689805269186708</c:v>
                </c:pt>
                <c:pt idx="9">
                  <c:v>15.840224272020254</c:v>
                </c:pt>
                <c:pt idx="10">
                  <c:v>15.993843679169405</c:v>
                </c:pt>
                <c:pt idx="11">
                  <c:v>16.150766729483053</c:v>
                </c:pt>
                <c:pt idx="12">
                  <c:v>16.311101150455698</c:v>
                </c:pt>
                <c:pt idx="13">
                  <c:v>16.474959404856307</c:v>
                </c:pt>
                <c:pt idx="14">
                  <c:v>16.642458953799157</c:v>
                </c:pt>
                <c:pt idx="15">
                  <c:v>16.666666666666668</c:v>
                </c:pt>
                <c:pt idx="16">
                  <c:v>16.666666666666668</c:v>
                </c:pt>
                <c:pt idx="17">
                  <c:v>16.666666666666668</c:v>
                </c:pt>
                <c:pt idx="18">
                  <c:v>16.666666666666668</c:v>
                </c:pt>
                <c:pt idx="19">
                  <c:v>16.666666666666668</c:v>
                </c:pt>
                <c:pt idx="20">
                  <c:v>16.666666666666668</c:v>
                </c:pt>
                <c:pt idx="21">
                  <c:v>16.666666666666668</c:v>
                </c:pt>
                <c:pt idx="22">
                  <c:v>16.666666666666668</c:v>
                </c:pt>
                <c:pt idx="23">
                  <c:v>16.666666666666668</c:v>
                </c:pt>
                <c:pt idx="24">
                  <c:v>16.666666666666668</c:v>
                </c:pt>
                <c:pt idx="25">
                  <c:v>16.666666666666668</c:v>
                </c:pt>
                <c:pt idx="26">
                  <c:v>16.666666666666668</c:v>
                </c:pt>
                <c:pt idx="27">
                  <c:v>16.666666666666668</c:v>
                </c:pt>
                <c:pt idx="28">
                  <c:v>16.666666666666668</c:v>
                </c:pt>
                <c:pt idx="29">
                  <c:v>16.666666666666668</c:v>
                </c:pt>
                <c:pt idx="30">
                  <c:v>16.666666666666668</c:v>
                </c:pt>
                <c:pt idx="31">
                  <c:v>16.666666666666668</c:v>
                </c:pt>
                <c:pt idx="32">
                  <c:v>16.666666666666668</c:v>
                </c:pt>
                <c:pt idx="33">
                  <c:v>16.666666666666668</c:v>
                </c:pt>
                <c:pt idx="34">
                  <c:v>16.666666666666668</c:v>
                </c:pt>
                <c:pt idx="35">
                  <c:v>16.666666666666668</c:v>
                </c:pt>
                <c:pt idx="36">
                  <c:v>16.666666666666668</c:v>
                </c:pt>
                <c:pt idx="37">
                  <c:v>16.666666666666668</c:v>
                </c:pt>
                <c:pt idx="38">
                  <c:v>16.666666666666668</c:v>
                </c:pt>
                <c:pt idx="39">
                  <c:v>16.666666666666668</c:v>
                </c:pt>
                <c:pt idx="40">
                  <c:v>16.666666666666668</c:v>
                </c:pt>
                <c:pt idx="41">
                  <c:v>16.666666666666668</c:v>
                </c:pt>
                <c:pt idx="42">
                  <c:v>16.666666666666668</c:v>
                </c:pt>
                <c:pt idx="43">
                  <c:v>16.666666666666668</c:v>
                </c:pt>
                <c:pt idx="44">
                  <c:v>16.666666666666668</c:v>
                </c:pt>
                <c:pt idx="45">
                  <c:v>16.666666666666668</c:v>
                </c:pt>
                <c:pt idx="46">
                  <c:v>16.666666666666668</c:v>
                </c:pt>
                <c:pt idx="47">
                  <c:v>16.666666666666668</c:v>
                </c:pt>
                <c:pt idx="48">
                  <c:v>16.666666666666668</c:v>
                </c:pt>
                <c:pt idx="49">
                  <c:v>16.666666666666668</c:v>
                </c:pt>
                <c:pt idx="50">
                  <c:v>16.666666666666668</c:v>
                </c:pt>
                <c:pt idx="51">
                  <c:v>16.666666666666668</c:v>
                </c:pt>
                <c:pt idx="52">
                  <c:v>16.666666666666668</c:v>
                </c:pt>
                <c:pt idx="53">
                  <c:v>16.666666666666668</c:v>
                </c:pt>
                <c:pt idx="54">
                  <c:v>16.666666666666668</c:v>
                </c:pt>
                <c:pt idx="55">
                  <c:v>16.666666666666668</c:v>
                </c:pt>
                <c:pt idx="56">
                  <c:v>16.666666666666668</c:v>
                </c:pt>
                <c:pt idx="57">
                  <c:v>16.666666666666668</c:v>
                </c:pt>
                <c:pt idx="58">
                  <c:v>16.666666666666668</c:v>
                </c:pt>
                <c:pt idx="59">
                  <c:v>16.666666666666668</c:v>
                </c:pt>
                <c:pt idx="60">
                  <c:v>16.666666666666668</c:v>
                </c:pt>
                <c:pt idx="61">
                  <c:v>16.666666666666668</c:v>
                </c:pt>
                <c:pt idx="62">
                  <c:v>16.666666666666668</c:v>
                </c:pt>
                <c:pt idx="63">
                  <c:v>16.666666666666668</c:v>
                </c:pt>
                <c:pt idx="64">
                  <c:v>16.666666666666668</c:v>
                </c:pt>
                <c:pt idx="65">
                  <c:v>16.666666666666668</c:v>
                </c:pt>
                <c:pt idx="66">
                  <c:v>16.666666666666668</c:v>
                </c:pt>
                <c:pt idx="67">
                  <c:v>16.666666666666668</c:v>
                </c:pt>
                <c:pt idx="68">
                  <c:v>16.666666666666668</c:v>
                </c:pt>
                <c:pt idx="69">
                  <c:v>16.666666666666668</c:v>
                </c:pt>
                <c:pt idx="70">
                  <c:v>16.666666666666668</c:v>
                </c:pt>
                <c:pt idx="71">
                  <c:v>16.666666666666668</c:v>
                </c:pt>
                <c:pt idx="72">
                  <c:v>16.666666666666668</c:v>
                </c:pt>
                <c:pt idx="73">
                  <c:v>16.666666666666668</c:v>
                </c:pt>
                <c:pt idx="74">
                  <c:v>16.666666666666668</c:v>
                </c:pt>
                <c:pt idx="75">
                  <c:v>16.666666666666668</c:v>
                </c:pt>
                <c:pt idx="76">
                  <c:v>16.666666666666668</c:v>
                </c:pt>
                <c:pt idx="77">
                  <c:v>16.666666666666668</c:v>
                </c:pt>
                <c:pt idx="78">
                  <c:v>16.666666666666668</c:v>
                </c:pt>
                <c:pt idx="79">
                  <c:v>16.666666666666668</c:v>
                </c:pt>
                <c:pt idx="80">
                  <c:v>16.666666666666668</c:v>
                </c:pt>
                <c:pt idx="81">
                  <c:v>16.666666666666668</c:v>
                </c:pt>
                <c:pt idx="82">
                  <c:v>16.666666666666668</c:v>
                </c:pt>
                <c:pt idx="83">
                  <c:v>16.666666666666668</c:v>
                </c:pt>
                <c:pt idx="84">
                  <c:v>16.666666666666668</c:v>
                </c:pt>
                <c:pt idx="85">
                  <c:v>16.666666666666668</c:v>
                </c:pt>
                <c:pt idx="86">
                  <c:v>16.666666666666668</c:v>
                </c:pt>
                <c:pt idx="87">
                  <c:v>16.666666666666668</c:v>
                </c:pt>
                <c:pt idx="88">
                  <c:v>16.666666666666668</c:v>
                </c:pt>
                <c:pt idx="89">
                  <c:v>16.666666666666668</c:v>
                </c:pt>
                <c:pt idx="90">
                  <c:v>16.666666666666668</c:v>
                </c:pt>
                <c:pt idx="91">
                  <c:v>16.666666666666668</c:v>
                </c:pt>
                <c:pt idx="92">
                  <c:v>16.666666666666668</c:v>
                </c:pt>
                <c:pt idx="93">
                  <c:v>16.666666666666668</c:v>
                </c:pt>
                <c:pt idx="94">
                  <c:v>16.666666666666668</c:v>
                </c:pt>
                <c:pt idx="95">
                  <c:v>16.666666666666668</c:v>
                </c:pt>
                <c:pt idx="96">
                  <c:v>16.666666666666668</c:v>
                </c:pt>
                <c:pt idx="97">
                  <c:v>16.666666666666668</c:v>
                </c:pt>
                <c:pt idx="98">
                  <c:v>16.666666666666668</c:v>
                </c:pt>
                <c:pt idx="99">
                  <c:v>16.666666666666668</c:v>
                </c:pt>
                <c:pt idx="100">
                  <c:v>16.666666666666668</c:v>
                </c:pt>
                <c:pt idx="101">
                  <c:v>16.666666666666668</c:v>
                </c:pt>
                <c:pt idx="102">
                  <c:v>16.666666666666668</c:v>
                </c:pt>
              </c:numCache>
            </c:numRef>
          </c:yVal>
          <c:smooth val="1"/>
          <c:extLst>
            <c:ext xmlns:c16="http://schemas.microsoft.com/office/drawing/2014/chart" uri="{C3380CC4-5D6E-409C-BE32-E72D297353CC}">
              <c16:uniqueId val="{00000001-1417-476B-A8AD-E2334CEFAC7F}"/>
            </c:ext>
          </c:extLst>
        </c:ser>
        <c:dLbls>
          <c:showLegendKey val="0"/>
          <c:showVal val="0"/>
          <c:showCatName val="0"/>
          <c:showSerName val="0"/>
          <c:showPercent val="0"/>
          <c:showBubbleSize val="0"/>
        </c:dLbls>
        <c:axId val="583185920"/>
        <c:axId val="583201920"/>
      </c:scatterChart>
      <c:valAx>
        <c:axId val="583185920"/>
        <c:scaling>
          <c:orientation val="minMax"/>
        </c:scaling>
        <c:delete val="0"/>
        <c:axPos val="b"/>
        <c:majorGridlines/>
        <c:minorGridlines/>
        <c:title>
          <c:tx>
            <c:rich>
              <a:bodyPr/>
              <a:lstStyle/>
              <a:p>
                <a:pPr>
                  <a:defRPr/>
                </a:pPr>
                <a:r>
                  <a:rPr lang="en-US"/>
                  <a:t>Output</a:t>
                </a:r>
                <a:r>
                  <a:rPr lang="en-US" baseline="0"/>
                  <a:t> Voltage (V)</a:t>
                </a:r>
                <a:endParaRPr lang="en-US"/>
              </a:p>
            </c:rich>
          </c:tx>
          <c:layout>
            <c:manualLayout>
              <c:xMode val="edge"/>
              <c:yMode val="edge"/>
              <c:x val="0.40914479681091759"/>
              <c:y val="0.92545001031614371"/>
            </c:manualLayout>
          </c:layout>
          <c:overlay val="0"/>
        </c:title>
        <c:numFmt formatCode="0.00" sourceLinked="1"/>
        <c:majorTickMark val="out"/>
        <c:minorTickMark val="none"/>
        <c:tickLblPos val="nextTo"/>
        <c:txPr>
          <a:bodyPr/>
          <a:lstStyle/>
          <a:p>
            <a:pPr>
              <a:defRPr b="1"/>
            </a:pPr>
            <a:endParaRPr lang="es-ES"/>
          </a:p>
        </c:txPr>
        <c:crossAx val="583201920"/>
        <c:crosses val="autoZero"/>
        <c:crossBetween val="midCat"/>
      </c:valAx>
      <c:valAx>
        <c:axId val="583201920"/>
        <c:scaling>
          <c:orientation val="minMax"/>
          <c:min val="0"/>
        </c:scaling>
        <c:delete val="0"/>
        <c:axPos val="l"/>
        <c:majorGridlines/>
        <c:minorGridlines/>
        <c:title>
          <c:tx>
            <c:rich>
              <a:bodyPr rot="-5400000" vert="horz"/>
              <a:lstStyle/>
              <a:p>
                <a:pPr>
                  <a:defRPr/>
                </a:pPr>
                <a:r>
                  <a:rPr lang="en-US"/>
                  <a:t>Current (A)</a:t>
                </a:r>
              </a:p>
            </c:rich>
          </c:tx>
          <c:layout>
            <c:manualLayout>
              <c:xMode val="edge"/>
              <c:yMode val="edge"/>
              <c:x val="2.5894125229633976E-2"/>
              <c:y val="0.40230013499530876"/>
            </c:manualLayout>
          </c:layout>
          <c:overlay val="0"/>
        </c:title>
        <c:numFmt formatCode="0.0" sourceLinked="0"/>
        <c:majorTickMark val="out"/>
        <c:minorTickMark val="none"/>
        <c:tickLblPos val="nextTo"/>
        <c:txPr>
          <a:bodyPr/>
          <a:lstStyle/>
          <a:p>
            <a:pPr>
              <a:defRPr b="1"/>
            </a:pPr>
            <a:endParaRPr lang="es-ES"/>
          </a:p>
        </c:txPr>
        <c:crossAx val="583185920"/>
        <c:crosses val="autoZero"/>
        <c:crossBetween val="midCat"/>
      </c:valAx>
    </c:plotArea>
    <c:legend>
      <c:legendPos val="r"/>
      <c:layout>
        <c:manualLayout>
          <c:xMode val="edge"/>
          <c:yMode val="edge"/>
          <c:x val="0.17948138421044507"/>
          <c:y val="0.18817949003451728"/>
          <c:w val="0.21462230092985587"/>
          <c:h val="0.18516649249275954"/>
        </c:manualLayout>
      </c:layout>
      <c:overlay val="0"/>
      <c:spPr>
        <a:solidFill>
          <a:sysClr val="window" lastClr="FFFFFF"/>
        </a:solidFill>
        <a:ln>
          <a:solidFill>
            <a:schemeClr val="tx1"/>
          </a:solidFill>
        </a:ln>
      </c:spPr>
      <c:txPr>
        <a:bodyPr/>
        <a:lstStyle/>
        <a:p>
          <a:pPr>
            <a:defRPr>
              <a:ln>
                <a:solidFill>
                  <a:sysClr val="windowText" lastClr="000000"/>
                </a:solidFill>
              </a:ln>
            </a:defRPr>
          </a:pPr>
          <a:endParaRPr lang="es-ES"/>
        </a:p>
      </c:txPr>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600"/>
              <a:t>Start</a:t>
            </a:r>
            <a:r>
              <a:rPr lang="en-US" sz="1600" baseline="0"/>
              <a:t> - up: </a:t>
            </a:r>
            <a:r>
              <a:rPr lang="en-US" sz="1600"/>
              <a:t>FET</a:t>
            </a:r>
            <a:r>
              <a:rPr lang="en-US" sz="1600" baseline="0"/>
              <a:t> Power (</a:t>
            </a:r>
            <a:r>
              <a:rPr lang="en-US" sz="1600" b="1" i="0" u="none" strike="noStrike" baseline="0">
                <a:effectLst/>
              </a:rPr>
              <a:t>V</a:t>
            </a:r>
            <a:r>
              <a:rPr lang="en-US" sz="1600" b="1" i="0" u="none" strike="noStrike" baseline="-25000">
                <a:effectLst/>
              </a:rPr>
              <a:t>IN</a:t>
            </a:r>
            <a:r>
              <a:rPr lang="en-US" sz="1600" b="1" i="0" u="none" strike="noStrike" baseline="0">
                <a:effectLst/>
              </a:rPr>
              <a:t> = </a:t>
            </a:r>
            <a:r>
              <a:rPr lang="en-US" sz="1600" b="1" i="0" baseline="0">
                <a:effectLst/>
              </a:rPr>
              <a:t>V</a:t>
            </a:r>
            <a:r>
              <a:rPr lang="en-US" sz="1600" b="1" i="0" baseline="-25000">
                <a:effectLst/>
              </a:rPr>
              <a:t>INMAX</a:t>
            </a:r>
            <a:r>
              <a:rPr lang="en-US" sz="1600" b="1" i="0" u="none" strike="noStrike" baseline="0">
                <a:effectLst/>
              </a:rPr>
              <a:t>)</a:t>
            </a:r>
            <a:endParaRPr lang="en-US" sz="1600"/>
          </a:p>
        </c:rich>
      </c:tx>
      <c:layout>
        <c:manualLayout>
          <c:xMode val="edge"/>
          <c:yMode val="edge"/>
          <c:x val="0.19627129299304633"/>
          <c:y val="4.7011518577863782E-3"/>
        </c:manualLayout>
      </c:layout>
      <c:overlay val="0"/>
      <c:spPr>
        <a:solidFill>
          <a:schemeClr val="bg1"/>
        </a:solidFill>
      </c:spPr>
    </c:title>
    <c:autoTitleDeleted val="0"/>
    <c:plotArea>
      <c:layout>
        <c:manualLayout>
          <c:layoutTarget val="inner"/>
          <c:xMode val="edge"/>
          <c:yMode val="edge"/>
          <c:x val="0.13897705213713227"/>
          <c:y val="8.0967958803185414E-2"/>
          <c:w val="0.7676811886700865"/>
          <c:h val="0.71875545525738083"/>
        </c:manualLayout>
      </c:layout>
      <c:scatterChart>
        <c:scatterStyle val="lineMarker"/>
        <c:varyColors val="0"/>
        <c:ser>
          <c:idx val="0"/>
          <c:order val="0"/>
          <c:tx>
            <c:v>FET power dissipation</c:v>
          </c:tx>
          <c:marker>
            <c:symbol val="none"/>
          </c:marker>
          <c:xVal>
            <c:numRef>
              <c:f>Start_up!$K$8:$K$115</c:f>
              <c:numCache>
                <c:formatCode>0.00</c:formatCode>
                <c:ptCount val="108"/>
                <c:pt idx="0" formatCode="0.0">
                  <c:v>-10</c:v>
                </c:pt>
                <c:pt idx="1">
                  <c:v>-0.01</c:v>
                </c:pt>
                <c:pt idx="2" formatCode="0.0">
                  <c:v>0</c:v>
                </c:pt>
                <c:pt idx="3" formatCode="0.0">
                  <c:v>8.4926247081005613E-4</c:v>
                </c:pt>
                <c:pt idx="4" formatCode="0.0">
                  <c:v>1.6910570468418999E-3</c:v>
                </c:pt>
                <c:pt idx="5" formatCode="0.0">
                  <c:v>2.5253699098223559E-3</c:v>
                </c:pt>
                <c:pt idx="6" formatCode="0.0">
                  <c:v>3.3521872030896197E-3</c:v>
                </c:pt>
                <c:pt idx="7" formatCode="0.0">
                  <c:v>4.1714950314509294E-3</c:v>
                </c:pt>
                <c:pt idx="8" formatCode="0.0">
                  <c:v>4.9832794610395756E-3</c:v>
                </c:pt>
                <c:pt idx="9" formatCode="0.0">
                  <c:v>5.7875265191712488E-3</c:v>
                </c:pt>
                <c:pt idx="10" formatCode="0.0">
                  <c:v>6.5842221941997221E-3</c:v>
                </c:pt>
                <c:pt idx="11" formatCode="0.0">
                  <c:v>7.3733524353718546E-3</c:v>
                </c:pt>
                <c:pt idx="12" formatCode="0.0">
                  <c:v>8.1549031526819259E-3</c:v>
                </c:pt>
                <c:pt idx="13" formatCode="0.0">
                  <c:v>8.9288602167252925E-3</c:v>
                </c:pt>
                <c:pt idx="14" formatCode="0.0">
                  <c:v>9.6952094585513581E-3</c:v>
                </c:pt>
                <c:pt idx="15" formatCode="0.0">
                  <c:v>1.045393666951586E-2</c:v>
                </c:pt>
                <c:pt idx="16" formatCode="0.0">
                  <c:v>1.1205027601132457E-2</c:v>
                </c:pt>
                <c:pt idx="17" formatCode="0.0">
                  <c:v>1.1955027601132456E-2</c:v>
                </c:pt>
                <c:pt idx="18" formatCode="0.0">
                  <c:v>1.2705027601132457E-2</c:v>
                </c:pt>
                <c:pt idx="19" formatCode="0.0">
                  <c:v>1.3455027601132458E-2</c:v>
                </c:pt>
                <c:pt idx="20" formatCode="0.0">
                  <c:v>1.4205027601132457E-2</c:v>
                </c:pt>
                <c:pt idx="21" formatCode="0.0">
                  <c:v>1.4955027601132456E-2</c:v>
                </c:pt>
                <c:pt idx="22" formatCode="0.0">
                  <c:v>1.5705027601132456E-2</c:v>
                </c:pt>
                <c:pt idx="23" formatCode="0.0">
                  <c:v>1.6455027601132457E-2</c:v>
                </c:pt>
                <c:pt idx="24" formatCode="0.0">
                  <c:v>1.7205027601132458E-2</c:v>
                </c:pt>
                <c:pt idx="25" formatCode="0.0">
                  <c:v>1.7955027601132458E-2</c:v>
                </c:pt>
                <c:pt idx="26" formatCode="0.0">
                  <c:v>1.8705027601132462E-2</c:v>
                </c:pt>
                <c:pt idx="27" formatCode="0.0">
                  <c:v>1.9455027601132463E-2</c:v>
                </c:pt>
                <c:pt idx="28" formatCode="0.0">
                  <c:v>2.0205027601132464E-2</c:v>
                </c:pt>
                <c:pt idx="29" formatCode="0.0">
                  <c:v>2.0955027601132464E-2</c:v>
                </c:pt>
                <c:pt idx="30" formatCode="0.0">
                  <c:v>2.1705027601132462E-2</c:v>
                </c:pt>
                <c:pt idx="31" formatCode="0.0">
                  <c:v>2.2455027601132462E-2</c:v>
                </c:pt>
                <c:pt idx="32" formatCode="0.0">
                  <c:v>2.3205027601132463E-2</c:v>
                </c:pt>
                <c:pt idx="33" formatCode="0.0">
                  <c:v>2.3955027601132464E-2</c:v>
                </c:pt>
                <c:pt idx="34" formatCode="0.0">
                  <c:v>2.4705027601132464E-2</c:v>
                </c:pt>
                <c:pt idx="35" formatCode="0.0">
                  <c:v>2.5455027601132465E-2</c:v>
                </c:pt>
                <c:pt idx="36" formatCode="0.0">
                  <c:v>2.6205027601132466E-2</c:v>
                </c:pt>
                <c:pt idx="37" formatCode="0.0">
                  <c:v>2.695502760113247E-2</c:v>
                </c:pt>
                <c:pt idx="38" formatCode="0.0">
                  <c:v>2.770502760113247E-2</c:v>
                </c:pt>
                <c:pt idx="39" formatCode="0.0">
                  <c:v>2.8455027601132471E-2</c:v>
                </c:pt>
                <c:pt idx="40" formatCode="0.0">
                  <c:v>2.9205027601132472E-2</c:v>
                </c:pt>
                <c:pt idx="41" formatCode="0.0">
                  <c:v>2.9955027601132472E-2</c:v>
                </c:pt>
                <c:pt idx="42" formatCode="0.0">
                  <c:v>3.0705027601132473E-2</c:v>
                </c:pt>
                <c:pt idx="43" formatCode="0.0">
                  <c:v>3.1455027601132467E-2</c:v>
                </c:pt>
                <c:pt idx="44" formatCode="0.0">
                  <c:v>3.2205027601132467E-2</c:v>
                </c:pt>
                <c:pt idx="45" formatCode="0.0">
                  <c:v>3.2955027601132468E-2</c:v>
                </c:pt>
                <c:pt idx="46" formatCode="0.0">
                  <c:v>3.3705027601132462E-2</c:v>
                </c:pt>
                <c:pt idx="47" formatCode="0.0">
                  <c:v>3.4455027601132462E-2</c:v>
                </c:pt>
                <c:pt idx="48" formatCode="0.0">
                  <c:v>3.5205027601132456E-2</c:v>
                </c:pt>
                <c:pt idx="49" formatCode="0.0">
                  <c:v>3.5955027601132457E-2</c:v>
                </c:pt>
                <c:pt idx="50" formatCode="0.0">
                  <c:v>3.6705027601132457E-2</c:v>
                </c:pt>
                <c:pt idx="51" formatCode="0.0">
                  <c:v>3.7455027601132451E-2</c:v>
                </c:pt>
                <c:pt idx="52" formatCode="0.0">
                  <c:v>3.8205027601132452E-2</c:v>
                </c:pt>
                <c:pt idx="53" formatCode="0.0">
                  <c:v>3.8955027601132446E-2</c:v>
                </c:pt>
                <c:pt idx="54" formatCode="0.0">
                  <c:v>3.9705027601132446E-2</c:v>
                </c:pt>
                <c:pt idx="55" formatCode="0.0">
                  <c:v>4.0455027601132447E-2</c:v>
                </c:pt>
                <c:pt idx="56" formatCode="0.0">
                  <c:v>4.1205027601132448E-2</c:v>
                </c:pt>
                <c:pt idx="57" formatCode="0.0">
                  <c:v>4.1955027601132448E-2</c:v>
                </c:pt>
                <c:pt idx="58" formatCode="0.0">
                  <c:v>4.2705027601132442E-2</c:v>
                </c:pt>
                <c:pt idx="59" formatCode="0.0">
                  <c:v>4.345502760113245E-2</c:v>
                </c:pt>
                <c:pt idx="60" formatCode="0.0">
                  <c:v>4.420502760113245E-2</c:v>
                </c:pt>
                <c:pt idx="61" formatCode="0.0">
                  <c:v>4.4955027601132444E-2</c:v>
                </c:pt>
                <c:pt idx="62" formatCode="0.0">
                  <c:v>4.5705027601132445E-2</c:v>
                </c:pt>
                <c:pt idx="63" formatCode="0.0">
                  <c:v>4.6455027601132445E-2</c:v>
                </c:pt>
                <c:pt idx="64" formatCode="0.0">
                  <c:v>4.7205027601132446E-2</c:v>
                </c:pt>
                <c:pt idx="65" formatCode="0.0">
                  <c:v>4.7955027601132447E-2</c:v>
                </c:pt>
                <c:pt idx="66" formatCode="0.0">
                  <c:v>4.8705027601132447E-2</c:v>
                </c:pt>
                <c:pt idx="67" formatCode="0.0">
                  <c:v>4.9455027601132448E-2</c:v>
                </c:pt>
                <c:pt idx="68" formatCode="0.0">
                  <c:v>5.0205027601132442E-2</c:v>
                </c:pt>
                <c:pt idx="69" formatCode="0.0">
                  <c:v>5.0955027601132442E-2</c:v>
                </c:pt>
                <c:pt idx="70" formatCode="0.0">
                  <c:v>5.1705027601132443E-2</c:v>
                </c:pt>
                <c:pt idx="71" formatCode="0.0">
                  <c:v>5.2455027601132437E-2</c:v>
                </c:pt>
                <c:pt idx="72" formatCode="0.0">
                  <c:v>5.3205027601132437E-2</c:v>
                </c:pt>
                <c:pt idx="73" formatCode="0.0">
                  <c:v>5.3955027601132431E-2</c:v>
                </c:pt>
                <c:pt idx="74" formatCode="0.0">
                  <c:v>5.4705027601132432E-2</c:v>
                </c:pt>
                <c:pt idx="75" formatCode="0.0">
                  <c:v>5.5455027601132433E-2</c:v>
                </c:pt>
                <c:pt idx="76" formatCode="0.0">
                  <c:v>5.6205027601132426E-2</c:v>
                </c:pt>
                <c:pt idx="77" formatCode="0.0">
                  <c:v>5.6955027601132427E-2</c:v>
                </c:pt>
                <c:pt idx="78" formatCode="0.0">
                  <c:v>5.7705027601132421E-2</c:v>
                </c:pt>
                <c:pt idx="79" formatCode="0.0">
                  <c:v>5.8455027601132421E-2</c:v>
                </c:pt>
                <c:pt idx="80" formatCode="0.0">
                  <c:v>5.9205027601132422E-2</c:v>
                </c:pt>
                <c:pt idx="81" formatCode="0.0">
                  <c:v>5.9955027601132416E-2</c:v>
                </c:pt>
                <c:pt idx="82" formatCode="0.0">
                  <c:v>6.0705027601132416E-2</c:v>
                </c:pt>
                <c:pt idx="83" formatCode="0.0">
                  <c:v>6.145502760113241E-2</c:v>
                </c:pt>
                <c:pt idx="84" formatCode="0.0">
                  <c:v>6.2205027601132418E-2</c:v>
                </c:pt>
                <c:pt idx="85" formatCode="0.0">
                  <c:v>6.2955027601132418E-2</c:v>
                </c:pt>
                <c:pt idx="86" formatCode="0.0">
                  <c:v>6.3705027601132433E-2</c:v>
                </c:pt>
                <c:pt idx="87" formatCode="0.0">
                  <c:v>6.4455027601132434E-2</c:v>
                </c:pt>
                <c:pt idx="88" formatCode="0.0">
                  <c:v>6.5205027601132434E-2</c:v>
                </c:pt>
                <c:pt idx="89" formatCode="0.0">
                  <c:v>6.5955027601132435E-2</c:v>
                </c:pt>
                <c:pt idx="90" formatCode="0.0">
                  <c:v>6.6705027601132449E-2</c:v>
                </c:pt>
                <c:pt idx="91" formatCode="0.0">
                  <c:v>6.745502760113245E-2</c:v>
                </c:pt>
                <c:pt idx="92" formatCode="0.0">
                  <c:v>6.8205027601132451E-2</c:v>
                </c:pt>
                <c:pt idx="93" formatCode="0.0">
                  <c:v>6.8955027601132465E-2</c:v>
                </c:pt>
                <c:pt idx="94" formatCode="0.0">
                  <c:v>6.9705027601132466E-2</c:v>
                </c:pt>
                <c:pt idx="95" formatCode="0.0">
                  <c:v>7.0455027601132467E-2</c:v>
                </c:pt>
                <c:pt idx="96" formatCode="0.0">
                  <c:v>7.1205027601132467E-2</c:v>
                </c:pt>
                <c:pt idx="97" formatCode="0.0">
                  <c:v>7.1955027601132482E-2</c:v>
                </c:pt>
                <c:pt idx="98" formatCode="0.0">
                  <c:v>7.3126902601132485E-2</c:v>
                </c:pt>
                <c:pt idx="99" formatCode="0.0">
                  <c:v>7.4298777601132487E-2</c:v>
                </c:pt>
                <c:pt idx="100" formatCode="0.0">
                  <c:v>7.5470652601132504E-2</c:v>
                </c:pt>
                <c:pt idx="101" formatCode="0.0">
                  <c:v>7.6642527601132507E-2</c:v>
                </c:pt>
                <c:pt idx="102" formatCode="0.0">
                  <c:v>7.781440260113251E-2</c:v>
                </c:pt>
                <c:pt idx="103" formatCode="0.0">
                  <c:v>7.8986277601132512E-2</c:v>
                </c:pt>
                <c:pt idx="104" formatCode="0.0">
                  <c:v>8.0158152601132529E-2</c:v>
                </c:pt>
                <c:pt idx="105" formatCode="0.0">
                  <c:v>8.1330027601132532E-2</c:v>
                </c:pt>
                <c:pt idx="106" formatCode="0.0">
                  <c:v>8.2501902601132535E-2</c:v>
                </c:pt>
                <c:pt idx="107" formatCode="0.0">
                  <c:v>0.58250190260113255</c:v>
                </c:pt>
              </c:numCache>
            </c:numRef>
          </c:xVal>
          <c:yVal>
            <c:numRef>
              <c:f>Start_up!$O$8:$O$115</c:f>
              <c:numCache>
                <c:formatCode>General</c:formatCode>
                <c:ptCount val="108"/>
                <c:pt idx="0">
                  <c:v>0</c:v>
                </c:pt>
                <c:pt idx="1">
                  <c:v>0</c:v>
                </c:pt>
                <c:pt idx="2">
                  <c:v>189.67766323024051</c:v>
                </c:pt>
                <c:pt idx="3">
                  <c:v>189.5026632302405</c:v>
                </c:pt>
                <c:pt idx="4">
                  <c:v>189.32766323024052</c:v>
                </c:pt>
                <c:pt idx="5">
                  <c:v>189.15266323024051</c:v>
                </c:pt>
                <c:pt idx="6">
                  <c:v>188.97766323024052</c:v>
                </c:pt>
                <c:pt idx="7">
                  <c:v>188.80266323024051</c:v>
                </c:pt>
                <c:pt idx="8">
                  <c:v>188.6276632302405</c:v>
                </c:pt>
                <c:pt idx="9">
                  <c:v>188.45266323024052</c:v>
                </c:pt>
                <c:pt idx="10">
                  <c:v>188.27766323024051</c:v>
                </c:pt>
                <c:pt idx="11">
                  <c:v>188.10266323024052</c:v>
                </c:pt>
                <c:pt idx="12">
                  <c:v>187.92766323024051</c:v>
                </c:pt>
                <c:pt idx="13">
                  <c:v>187.7526632302405</c:v>
                </c:pt>
                <c:pt idx="14">
                  <c:v>187.57766323024055</c:v>
                </c:pt>
                <c:pt idx="15">
                  <c:v>187.40266323024048</c:v>
                </c:pt>
                <c:pt idx="16">
                  <c:v>187.22766323024052</c:v>
                </c:pt>
                <c:pt idx="17">
                  <c:v>185.41666666666669</c:v>
                </c:pt>
                <c:pt idx="18">
                  <c:v>183.33333333333334</c:v>
                </c:pt>
                <c:pt idx="19">
                  <c:v>181.25</c:v>
                </c:pt>
                <c:pt idx="20">
                  <c:v>179.16666666666669</c:v>
                </c:pt>
                <c:pt idx="21">
                  <c:v>177.08333333333334</c:v>
                </c:pt>
                <c:pt idx="22">
                  <c:v>175</c:v>
                </c:pt>
                <c:pt idx="23">
                  <c:v>172.91666666666669</c:v>
                </c:pt>
                <c:pt idx="24">
                  <c:v>170.83333333333334</c:v>
                </c:pt>
                <c:pt idx="25">
                  <c:v>168.75</c:v>
                </c:pt>
                <c:pt idx="26">
                  <c:v>166.66666666666669</c:v>
                </c:pt>
                <c:pt idx="27">
                  <c:v>164.58333333333334</c:v>
                </c:pt>
                <c:pt idx="28">
                  <c:v>162.5</c:v>
                </c:pt>
                <c:pt idx="29">
                  <c:v>160.41666666666669</c:v>
                </c:pt>
                <c:pt idx="30">
                  <c:v>158.33333333333334</c:v>
                </c:pt>
                <c:pt idx="31">
                  <c:v>156.25</c:v>
                </c:pt>
                <c:pt idx="32">
                  <c:v>154.16666666666669</c:v>
                </c:pt>
                <c:pt idx="33">
                  <c:v>152.08333333333334</c:v>
                </c:pt>
                <c:pt idx="34">
                  <c:v>150</c:v>
                </c:pt>
                <c:pt idx="35">
                  <c:v>147.91666666666669</c:v>
                </c:pt>
                <c:pt idx="36">
                  <c:v>145.83333333333334</c:v>
                </c:pt>
                <c:pt idx="37">
                  <c:v>143.75</c:v>
                </c:pt>
                <c:pt idx="38">
                  <c:v>141.66666666666669</c:v>
                </c:pt>
                <c:pt idx="39">
                  <c:v>139.58333333333334</c:v>
                </c:pt>
                <c:pt idx="40">
                  <c:v>137.5</c:v>
                </c:pt>
                <c:pt idx="41">
                  <c:v>135.41666666666669</c:v>
                </c:pt>
                <c:pt idx="42">
                  <c:v>133.33333333333334</c:v>
                </c:pt>
                <c:pt idx="43">
                  <c:v>131.25</c:v>
                </c:pt>
                <c:pt idx="44">
                  <c:v>129.16666666666669</c:v>
                </c:pt>
                <c:pt idx="45">
                  <c:v>127.08333333333334</c:v>
                </c:pt>
                <c:pt idx="46">
                  <c:v>125.00000000000001</c:v>
                </c:pt>
                <c:pt idx="47">
                  <c:v>122.91666666666667</c:v>
                </c:pt>
                <c:pt idx="48">
                  <c:v>120.83333333333334</c:v>
                </c:pt>
                <c:pt idx="49">
                  <c:v>118.75000000000001</c:v>
                </c:pt>
                <c:pt idx="50">
                  <c:v>116.66666666666667</c:v>
                </c:pt>
                <c:pt idx="51">
                  <c:v>114.58333333333334</c:v>
                </c:pt>
                <c:pt idx="52">
                  <c:v>112.50000000000001</c:v>
                </c:pt>
                <c:pt idx="53">
                  <c:v>110.41666666666667</c:v>
                </c:pt>
                <c:pt idx="54">
                  <c:v>108.33333333333334</c:v>
                </c:pt>
                <c:pt idx="55">
                  <c:v>106.25000000000001</c:v>
                </c:pt>
                <c:pt idx="56">
                  <c:v>104.16666666666666</c:v>
                </c:pt>
                <c:pt idx="57">
                  <c:v>102.08333333333334</c:v>
                </c:pt>
                <c:pt idx="58">
                  <c:v>100</c:v>
                </c:pt>
                <c:pt idx="59">
                  <c:v>97.916666666666657</c:v>
                </c:pt>
                <c:pt idx="60">
                  <c:v>95.833333333333343</c:v>
                </c:pt>
                <c:pt idx="61">
                  <c:v>93.75</c:v>
                </c:pt>
                <c:pt idx="62">
                  <c:v>91.666666666666686</c:v>
                </c:pt>
                <c:pt idx="63">
                  <c:v>89.583333333333343</c:v>
                </c:pt>
                <c:pt idx="64">
                  <c:v>87.5</c:v>
                </c:pt>
                <c:pt idx="65">
                  <c:v>85.416666666666686</c:v>
                </c:pt>
                <c:pt idx="66">
                  <c:v>83.333333333333343</c:v>
                </c:pt>
                <c:pt idx="67">
                  <c:v>81.25</c:v>
                </c:pt>
                <c:pt idx="68">
                  <c:v>79.166666666666671</c:v>
                </c:pt>
                <c:pt idx="69">
                  <c:v>77.083333333333343</c:v>
                </c:pt>
                <c:pt idx="70">
                  <c:v>75</c:v>
                </c:pt>
                <c:pt idx="71">
                  <c:v>72.916666666666671</c:v>
                </c:pt>
                <c:pt idx="72">
                  <c:v>70.833333333333343</c:v>
                </c:pt>
                <c:pt idx="73">
                  <c:v>68.75</c:v>
                </c:pt>
                <c:pt idx="74">
                  <c:v>66.666666666666671</c:v>
                </c:pt>
                <c:pt idx="75">
                  <c:v>64.583333333333343</c:v>
                </c:pt>
                <c:pt idx="76">
                  <c:v>62.500000000000007</c:v>
                </c:pt>
                <c:pt idx="77">
                  <c:v>60.416666666666671</c:v>
                </c:pt>
                <c:pt idx="78">
                  <c:v>58.333333333333336</c:v>
                </c:pt>
                <c:pt idx="79">
                  <c:v>56.250000000000007</c:v>
                </c:pt>
                <c:pt idx="80">
                  <c:v>54.166666666666671</c:v>
                </c:pt>
                <c:pt idx="81">
                  <c:v>52.083333333333336</c:v>
                </c:pt>
                <c:pt idx="82">
                  <c:v>50</c:v>
                </c:pt>
                <c:pt idx="83">
                  <c:v>47.916666666666671</c:v>
                </c:pt>
                <c:pt idx="84">
                  <c:v>45.833333333333336</c:v>
                </c:pt>
                <c:pt idx="85">
                  <c:v>43.75</c:v>
                </c:pt>
                <c:pt idx="86">
                  <c:v>41.666666666666671</c:v>
                </c:pt>
                <c:pt idx="87">
                  <c:v>39.583333333333336</c:v>
                </c:pt>
                <c:pt idx="88">
                  <c:v>37.5</c:v>
                </c:pt>
                <c:pt idx="89">
                  <c:v>35.416666666666671</c:v>
                </c:pt>
                <c:pt idx="90">
                  <c:v>33.333333333333336</c:v>
                </c:pt>
                <c:pt idx="91">
                  <c:v>31.250000000000004</c:v>
                </c:pt>
                <c:pt idx="92">
                  <c:v>29.166666666666668</c:v>
                </c:pt>
                <c:pt idx="93">
                  <c:v>27.083333333333336</c:v>
                </c:pt>
                <c:pt idx="94">
                  <c:v>25</c:v>
                </c:pt>
                <c:pt idx="95">
                  <c:v>22.916666666666668</c:v>
                </c:pt>
                <c:pt idx="96">
                  <c:v>20.833333333333336</c:v>
                </c:pt>
                <c:pt idx="97">
                  <c:v>18.75</c:v>
                </c:pt>
                <c:pt idx="98">
                  <c:v>16.666666666666668</c:v>
                </c:pt>
                <c:pt idx="99">
                  <c:v>14.583333333333334</c:v>
                </c:pt>
                <c:pt idx="100">
                  <c:v>12.5</c:v>
                </c:pt>
                <c:pt idx="101">
                  <c:v>10.416666666666668</c:v>
                </c:pt>
                <c:pt idx="102">
                  <c:v>8.3333333333333339</c:v>
                </c:pt>
                <c:pt idx="103">
                  <c:v>6.25</c:v>
                </c:pt>
                <c:pt idx="104">
                  <c:v>4.166666666666667</c:v>
                </c:pt>
                <c:pt idx="105">
                  <c:v>2.0833333333333335</c:v>
                </c:pt>
                <c:pt idx="106">
                  <c:v>0</c:v>
                </c:pt>
                <c:pt idx="107">
                  <c:v>0</c:v>
                </c:pt>
              </c:numCache>
            </c:numRef>
          </c:yVal>
          <c:smooth val="0"/>
          <c:extLst>
            <c:ext xmlns:c16="http://schemas.microsoft.com/office/drawing/2014/chart" uri="{C3380CC4-5D6E-409C-BE32-E72D297353CC}">
              <c16:uniqueId val="{00000000-B52D-461B-B67B-64B0FC906EC2}"/>
            </c:ext>
          </c:extLst>
        </c:ser>
        <c:dLbls>
          <c:showLegendKey val="0"/>
          <c:showVal val="0"/>
          <c:showCatName val="0"/>
          <c:showSerName val="0"/>
          <c:showPercent val="0"/>
          <c:showBubbleSize val="0"/>
        </c:dLbls>
        <c:axId val="135271936"/>
        <c:axId val="135273856"/>
      </c:scatterChart>
      <c:valAx>
        <c:axId val="135271936"/>
        <c:scaling>
          <c:orientation val="minMax"/>
          <c:min val="-1"/>
        </c:scaling>
        <c:delete val="0"/>
        <c:axPos val="b"/>
        <c:minorGridlines/>
        <c:title>
          <c:tx>
            <c:rich>
              <a:bodyPr/>
              <a:lstStyle/>
              <a:p>
                <a:pPr>
                  <a:defRPr/>
                </a:pPr>
                <a:r>
                  <a:rPr lang="en-US"/>
                  <a:t>Time (ms)</a:t>
                </a:r>
              </a:p>
            </c:rich>
          </c:tx>
          <c:layout>
            <c:manualLayout>
              <c:xMode val="edge"/>
              <c:yMode val="edge"/>
              <c:x val="0.44799096768442925"/>
              <c:y val="0.90583847854517363"/>
            </c:manualLayout>
          </c:layout>
          <c:overlay val="0"/>
        </c:title>
        <c:numFmt formatCode="0.0" sourceLinked="1"/>
        <c:majorTickMark val="out"/>
        <c:minorTickMark val="none"/>
        <c:tickLblPos val="nextTo"/>
        <c:txPr>
          <a:bodyPr/>
          <a:lstStyle/>
          <a:p>
            <a:pPr>
              <a:defRPr b="1"/>
            </a:pPr>
            <a:endParaRPr lang="es-ES"/>
          </a:p>
        </c:txPr>
        <c:crossAx val="135273856"/>
        <c:crosses val="autoZero"/>
        <c:crossBetween val="midCat"/>
      </c:valAx>
      <c:valAx>
        <c:axId val="135273856"/>
        <c:scaling>
          <c:orientation val="minMax"/>
          <c:min val="0"/>
        </c:scaling>
        <c:delete val="0"/>
        <c:axPos val="l"/>
        <c:majorGridlines/>
        <c:minorGridlines/>
        <c:title>
          <c:tx>
            <c:rich>
              <a:bodyPr rot="-5400000" vert="horz"/>
              <a:lstStyle/>
              <a:p>
                <a:pPr>
                  <a:defRPr/>
                </a:pPr>
                <a:r>
                  <a:rPr lang="en-US"/>
                  <a:t>FET Power (W)</a:t>
                </a:r>
              </a:p>
            </c:rich>
          </c:tx>
          <c:layout>
            <c:manualLayout>
              <c:xMode val="edge"/>
              <c:yMode val="edge"/>
              <c:x val="1.2836103229293341E-2"/>
              <c:y val="0.25775146359374557"/>
            </c:manualLayout>
          </c:layout>
          <c:overlay val="0"/>
        </c:title>
        <c:numFmt formatCode="General" sourceLinked="1"/>
        <c:majorTickMark val="out"/>
        <c:minorTickMark val="none"/>
        <c:tickLblPos val="nextTo"/>
        <c:txPr>
          <a:bodyPr/>
          <a:lstStyle/>
          <a:p>
            <a:pPr>
              <a:defRPr b="1"/>
            </a:pPr>
            <a:endParaRPr lang="es-ES"/>
          </a:p>
        </c:txPr>
        <c:crossAx val="135271936"/>
        <c:crossesAt val="-1"/>
        <c:crossBetween val="midCat"/>
      </c:valAx>
    </c:plotArea>
    <c:legend>
      <c:legendPos val="r"/>
      <c:layout>
        <c:manualLayout>
          <c:xMode val="edge"/>
          <c:yMode val="edge"/>
          <c:x val="0.58243391004423017"/>
          <c:y val="0.29201739268437199"/>
          <c:w val="0.39515213037394709"/>
          <c:h val="0.10848830734152082"/>
        </c:manualLayout>
      </c:layout>
      <c:overlay val="0"/>
      <c:spPr>
        <a:solidFill>
          <a:schemeClr val="bg1"/>
        </a:solidFill>
        <a:ln>
          <a:solidFill>
            <a:schemeClr val="tx1"/>
          </a:solidFill>
        </a:ln>
      </c:spPr>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Load and FET</a:t>
            </a:r>
            <a:r>
              <a:rPr lang="en-US" baseline="0"/>
              <a:t> current vs Vout</a:t>
            </a:r>
            <a:endParaRPr lang="en-US"/>
          </a:p>
        </c:rich>
      </c:tx>
      <c:overlay val="1"/>
    </c:title>
    <c:autoTitleDeleted val="0"/>
    <c:plotArea>
      <c:layout>
        <c:manualLayout>
          <c:layoutTarget val="inner"/>
          <c:xMode val="edge"/>
          <c:yMode val="edge"/>
          <c:x val="0.20280211116986058"/>
          <c:y val="0.14177960397727438"/>
          <c:w val="0.69967132057676096"/>
          <c:h val="0.7119118368882501"/>
        </c:manualLayout>
      </c:layout>
      <c:scatterChart>
        <c:scatterStyle val="smoothMarker"/>
        <c:varyColors val="0"/>
        <c:ser>
          <c:idx val="0"/>
          <c:order val="0"/>
          <c:tx>
            <c:strRef>
              <c:f>Start_up!$C$7</c:f>
              <c:strCache>
                <c:ptCount val="1"/>
                <c:pt idx="0">
                  <c:v>ILOAD</c:v>
                </c:pt>
              </c:strCache>
            </c:strRef>
          </c:tx>
          <c:marker>
            <c:symbol val="none"/>
          </c:marker>
          <c:xVal>
            <c:numRef>
              <c:f>Start_up!$B$10:$B$111</c:f>
              <c:numCache>
                <c:formatCode>0.00</c:formatCode>
                <c:ptCount val="102"/>
                <c:pt idx="0">
                  <c:v>0</c:v>
                </c:pt>
                <c:pt idx="1">
                  <c:v>0.125</c:v>
                </c:pt>
                <c:pt idx="2">
                  <c:v>0.25</c:v>
                </c:pt>
                <c:pt idx="3">
                  <c:v>0.375</c:v>
                </c:pt>
                <c:pt idx="4">
                  <c:v>0.5</c:v>
                </c:pt>
                <c:pt idx="5">
                  <c:v>0.625</c:v>
                </c:pt>
                <c:pt idx="6">
                  <c:v>0.75</c:v>
                </c:pt>
                <c:pt idx="7">
                  <c:v>0.875</c:v>
                </c:pt>
                <c:pt idx="8">
                  <c:v>1</c:v>
                </c:pt>
                <c:pt idx="9">
                  <c:v>1.125</c:v>
                </c:pt>
                <c:pt idx="10">
                  <c:v>1.25</c:v>
                </c:pt>
                <c:pt idx="11">
                  <c:v>1.375</c:v>
                </c:pt>
                <c:pt idx="12">
                  <c:v>1.5</c:v>
                </c:pt>
                <c:pt idx="13">
                  <c:v>1.625</c:v>
                </c:pt>
                <c:pt idx="14">
                  <c:v>1.75</c:v>
                </c:pt>
                <c:pt idx="15">
                  <c:v>1.8749999999999998</c:v>
                </c:pt>
                <c:pt idx="16">
                  <c:v>2</c:v>
                </c:pt>
                <c:pt idx="17">
                  <c:v>2.125</c:v>
                </c:pt>
                <c:pt idx="18">
                  <c:v>2.25</c:v>
                </c:pt>
                <c:pt idx="19">
                  <c:v>2.375</c:v>
                </c:pt>
                <c:pt idx="20">
                  <c:v>2.5</c:v>
                </c:pt>
                <c:pt idx="21">
                  <c:v>2.625</c:v>
                </c:pt>
                <c:pt idx="22">
                  <c:v>2.75</c:v>
                </c:pt>
                <c:pt idx="23">
                  <c:v>2.875</c:v>
                </c:pt>
                <c:pt idx="24">
                  <c:v>3</c:v>
                </c:pt>
                <c:pt idx="25">
                  <c:v>3.125</c:v>
                </c:pt>
                <c:pt idx="26">
                  <c:v>3.25</c:v>
                </c:pt>
                <c:pt idx="27">
                  <c:v>3.3750000000000004</c:v>
                </c:pt>
                <c:pt idx="28">
                  <c:v>3.5</c:v>
                </c:pt>
                <c:pt idx="29">
                  <c:v>3.625</c:v>
                </c:pt>
                <c:pt idx="30">
                  <c:v>3.7499999999999996</c:v>
                </c:pt>
                <c:pt idx="31">
                  <c:v>3.875</c:v>
                </c:pt>
                <c:pt idx="32">
                  <c:v>4</c:v>
                </c:pt>
                <c:pt idx="33">
                  <c:v>4.125</c:v>
                </c:pt>
                <c:pt idx="34">
                  <c:v>4.25</c:v>
                </c:pt>
                <c:pt idx="35">
                  <c:v>4.375</c:v>
                </c:pt>
                <c:pt idx="36">
                  <c:v>4.5</c:v>
                </c:pt>
                <c:pt idx="37">
                  <c:v>4.625</c:v>
                </c:pt>
                <c:pt idx="38">
                  <c:v>4.75</c:v>
                </c:pt>
                <c:pt idx="39">
                  <c:v>4.875</c:v>
                </c:pt>
                <c:pt idx="40">
                  <c:v>5</c:v>
                </c:pt>
                <c:pt idx="41">
                  <c:v>5.125</c:v>
                </c:pt>
                <c:pt idx="42">
                  <c:v>5.25</c:v>
                </c:pt>
                <c:pt idx="43">
                  <c:v>5.375</c:v>
                </c:pt>
                <c:pt idx="44">
                  <c:v>5.5</c:v>
                </c:pt>
                <c:pt idx="45">
                  <c:v>5.625</c:v>
                </c:pt>
                <c:pt idx="46">
                  <c:v>5.75</c:v>
                </c:pt>
                <c:pt idx="47">
                  <c:v>5.875</c:v>
                </c:pt>
                <c:pt idx="48">
                  <c:v>6</c:v>
                </c:pt>
                <c:pt idx="49">
                  <c:v>6.125</c:v>
                </c:pt>
                <c:pt idx="50">
                  <c:v>6.25</c:v>
                </c:pt>
                <c:pt idx="51">
                  <c:v>6.375</c:v>
                </c:pt>
                <c:pt idx="52">
                  <c:v>6.5</c:v>
                </c:pt>
                <c:pt idx="53">
                  <c:v>6.625</c:v>
                </c:pt>
                <c:pt idx="54">
                  <c:v>6.7500000000000009</c:v>
                </c:pt>
                <c:pt idx="55">
                  <c:v>6.875</c:v>
                </c:pt>
                <c:pt idx="56">
                  <c:v>7</c:v>
                </c:pt>
                <c:pt idx="57">
                  <c:v>7.1250000000000009</c:v>
                </c:pt>
                <c:pt idx="58">
                  <c:v>7.25</c:v>
                </c:pt>
                <c:pt idx="59">
                  <c:v>7.375</c:v>
                </c:pt>
                <c:pt idx="60">
                  <c:v>7.4999999999999991</c:v>
                </c:pt>
                <c:pt idx="61">
                  <c:v>7.625</c:v>
                </c:pt>
                <c:pt idx="62">
                  <c:v>7.75</c:v>
                </c:pt>
                <c:pt idx="63">
                  <c:v>7.8749999999999991</c:v>
                </c:pt>
                <c:pt idx="64">
                  <c:v>8</c:v>
                </c:pt>
                <c:pt idx="65">
                  <c:v>8.125</c:v>
                </c:pt>
                <c:pt idx="66">
                  <c:v>8.25</c:v>
                </c:pt>
                <c:pt idx="67">
                  <c:v>8.375</c:v>
                </c:pt>
                <c:pt idx="68">
                  <c:v>8.5</c:v>
                </c:pt>
                <c:pt idx="69">
                  <c:v>8.625</c:v>
                </c:pt>
                <c:pt idx="70">
                  <c:v>8.75</c:v>
                </c:pt>
                <c:pt idx="71">
                  <c:v>8.875</c:v>
                </c:pt>
                <c:pt idx="72">
                  <c:v>9</c:v>
                </c:pt>
                <c:pt idx="73">
                  <c:v>9.125</c:v>
                </c:pt>
                <c:pt idx="74">
                  <c:v>9.25</c:v>
                </c:pt>
                <c:pt idx="75">
                  <c:v>9.375</c:v>
                </c:pt>
                <c:pt idx="76">
                  <c:v>9.5</c:v>
                </c:pt>
                <c:pt idx="77">
                  <c:v>9.625</c:v>
                </c:pt>
                <c:pt idx="78">
                  <c:v>9.75</c:v>
                </c:pt>
                <c:pt idx="79">
                  <c:v>9.875</c:v>
                </c:pt>
                <c:pt idx="80">
                  <c:v>10</c:v>
                </c:pt>
                <c:pt idx="81">
                  <c:v>10.125</c:v>
                </c:pt>
                <c:pt idx="82">
                  <c:v>10.25</c:v>
                </c:pt>
                <c:pt idx="83">
                  <c:v>10.375</c:v>
                </c:pt>
                <c:pt idx="84">
                  <c:v>10.5</c:v>
                </c:pt>
                <c:pt idx="85">
                  <c:v>10.625</c:v>
                </c:pt>
                <c:pt idx="86">
                  <c:v>10.75</c:v>
                </c:pt>
                <c:pt idx="87">
                  <c:v>10.875</c:v>
                </c:pt>
                <c:pt idx="88">
                  <c:v>11</c:v>
                </c:pt>
                <c:pt idx="89">
                  <c:v>11.125</c:v>
                </c:pt>
                <c:pt idx="90">
                  <c:v>11.25</c:v>
                </c:pt>
                <c:pt idx="91">
                  <c:v>11.375</c:v>
                </c:pt>
                <c:pt idx="92">
                  <c:v>11.5</c:v>
                </c:pt>
                <c:pt idx="93">
                  <c:v>11.625</c:v>
                </c:pt>
                <c:pt idx="94">
                  <c:v>11.75</c:v>
                </c:pt>
                <c:pt idx="95">
                  <c:v>11.875</c:v>
                </c:pt>
                <c:pt idx="96">
                  <c:v>12</c:v>
                </c:pt>
                <c:pt idx="97">
                  <c:v>12.125</c:v>
                </c:pt>
                <c:pt idx="98">
                  <c:v>12.25</c:v>
                </c:pt>
                <c:pt idx="99">
                  <c:v>12.375</c:v>
                </c:pt>
                <c:pt idx="100">
                  <c:v>12.5</c:v>
                </c:pt>
                <c:pt idx="101">
                  <c:v>12.625</c:v>
                </c:pt>
              </c:numCache>
            </c:numRef>
          </c:xVal>
          <c:yVal>
            <c:numRef>
              <c:f>Start_up!$C$10:$C$111</c:f>
              <c:numCache>
                <c:formatCode>0.000</c:formatCode>
                <c:ptCount val="10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6</c:v>
                </c:pt>
                <c:pt idx="97">
                  <c:v>6</c:v>
                </c:pt>
                <c:pt idx="98">
                  <c:v>6</c:v>
                </c:pt>
                <c:pt idx="99">
                  <c:v>6</c:v>
                </c:pt>
                <c:pt idx="100">
                  <c:v>6</c:v>
                </c:pt>
                <c:pt idx="101">
                  <c:v>6</c:v>
                </c:pt>
              </c:numCache>
            </c:numRef>
          </c:yVal>
          <c:smooth val="1"/>
          <c:extLst>
            <c:ext xmlns:c16="http://schemas.microsoft.com/office/drawing/2014/chart" uri="{C3380CC4-5D6E-409C-BE32-E72D297353CC}">
              <c16:uniqueId val="{00000000-58E8-4C89-88B4-24B4EEC1E491}"/>
            </c:ext>
          </c:extLst>
        </c:ser>
        <c:ser>
          <c:idx val="1"/>
          <c:order val="1"/>
          <c:tx>
            <c:strRef>
              <c:f>Start_up!$G$7</c:f>
              <c:strCache>
                <c:ptCount val="1"/>
                <c:pt idx="0">
                  <c:v>IFET</c:v>
                </c:pt>
              </c:strCache>
            </c:strRef>
          </c:tx>
          <c:marker>
            <c:symbol val="none"/>
          </c:marker>
          <c:xVal>
            <c:numRef>
              <c:f>Start_up!$B$10:$B$111</c:f>
              <c:numCache>
                <c:formatCode>0.00</c:formatCode>
                <c:ptCount val="102"/>
                <c:pt idx="0">
                  <c:v>0</c:v>
                </c:pt>
                <c:pt idx="1">
                  <c:v>0.125</c:v>
                </c:pt>
                <c:pt idx="2">
                  <c:v>0.25</c:v>
                </c:pt>
                <c:pt idx="3">
                  <c:v>0.375</c:v>
                </c:pt>
                <c:pt idx="4">
                  <c:v>0.5</c:v>
                </c:pt>
                <c:pt idx="5">
                  <c:v>0.625</c:v>
                </c:pt>
                <c:pt idx="6">
                  <c:v>0.75</c:v>
                </c:pt>
                <c:pt idx="7">
                  <c:v>0.875</c:v>
                </c:pt>
                <c:pt idx="8">
                  <c:v>1</c:v>
                </c:pt>
                <c:pt idx="9">
                  <c:v>1.125</c:v>
                </c:pt>
                <c:pt idx="10">
                  <c:v>1.25</c:v>
                </c:pt>
                <c:pt idx="11">
                  <c:v>1.375</c:v>
                </c:pt>
                <c:pt idx="12">
                  <c:v>1.5</c:v>
                </c:pt>
                <c:pt idx="13">
                  <c:v>1.625</c:v>
                </c:pt>
                <c:pt idx="14">
                  <c:v>1.75</c:v>
                </c:pt>
                <c:pt idx="15">
                  <c:v>1.8749999999999998</c:v>
                </c:pt>
                <c:pt idx="16">
                  <c:v>2</c:v>
                </c:pt>
                <c:pt idx="17">
                  <c:v>2.125</c:v>
                </c:pt>
                <c:pt idx="18">
                  <c:v>2.25</c:v>
                </c:pt>
                <c:pt idx="19">
                  <c:v>2.375</c:v>
                </c:pt>
                <c:pt idx="20">
                  <c:v>2.5</c:v>
                </c:pt>
                <c:pt idx="21">
                  <c:v>2.625</c:v>
                </c:pt>
                <c:pt idx="22">
                  <c:v>2.75</c:v>
                </c:pt>
                <c:pt idx="23">
                  <c:v>2.875</c:v>
                </c:pt>
                <c:pt idx="24">
                  <c:v>3</c:v>
                </c:pt>
                <c:pt idx="25">
                  <c:v>3.125</c:v>
                </c:pt>
                <c:pt idx="26">
                  <c:v>3.25</c:v>
                </c:pt>
                <c:pt idx="27">
                  <c:v>3.3750000000000004</c:v>
                </c:pt>
                <c:pt idx="28">
                  <c:v>3.5</c:v>
                </c:pt>
                <c:pt idx="29">
                  <c:v>3.625</c:v>
                </c:pt>
                <c:pt idx="30">
                  <c:v>3.7499999999999996</c:v>
                </c:pt>
                <c:pt idx="31">
                  <c:v>3.875</c:v>
                </c:pt>
                <c:pt idx="32">
                  <c:v>4</c:v>
                </c:pt>
                <c:pt idx="33">
                  <c:v>4.125</c:v>
                </c:pt>
                <c:pt idx="34">
                  <c:v>4.25</c:v>
                </c:pt>
                <c:pt idx="35">
                  <c:v>4.375</c:v>
                </c:pt>
                <c:pt idx="36">
                  <c:v>4.5</c:v>
                </c:pt>
                <c:pt idx="37">
                  <c:v>4.625</c:v>
                </c:pt>
                <c:pt idx="38">
                  <c:v>4.75</c:v>
                </c:pt>
                <c:pt idx="39">
                  <c:v>4.875</c:v>
                </c:pt>
                <c:pt idx="40">
                  <c:v>5</c:v>
                </c:pt>
                <c:pt idx="41">
                  <c:v>5.125</c:v>
                </c:pt>
                <c:pt idx="42">
                  <c:v>5.25</c:v>
                </c:pt>
                <c:pt idx="43">
                  <c:v>5.375</c:v>
                </c:pt>
                <c:pt idx="44">
                  <c:v>5.5</c:v>
                </c:pt>
                <c:pt idx="45">
                  <c:v>5.625</c:v>
                </c:pt>
                <c:pt idx="46">
                  <c:v>5.75</c:v>
                </c:pt>
                <c:pt idx="47">
                  <c:v>5.875</c:v>
                </c:pt>
                <c:pt idx="48">
                  <c:v>6</c:v>
                </c:pt>
                <c:pt idx="49">
                  <c:v>6.125</c:v>
                </c:pt>
                <c:pt idx="50">
                  <c:v>6.25</c:v>
                </c:pt>
                <c:pt idx="51">
                  <c:v>6.375</c:v>
                </c:pt>
                <c:pt idx="52">
                  <c:v>6.5</c:v>
                </c:pt>
                <c:pt idx="53">
                  <c:v>6.625</c:v>
                </c:pt>
                <c:pt idx="54">
                  <c:v>6.7500000000000009</c:v>
                </c:pt>
                <c:pt idx="55">
                  <c:v>6.875</c:v>
                </c:pt>
                <c:pt idx="56">
                  <c:v>7</c:v>
                </c:pt>
                <c:pt idx="57">
                  <c:v>7.1250000000000009</c:v>
                </c:pt>
                <c:pt idx="58">
                  <c:v>7.25</c:v>
                </c:pt>
                <c:pt idx="59">
                  <c:v>7.375</c:v>
                </c:pt>
                <c:pt idx="60">
                  <c:v>7.4999999999999991</c:v>
                </c:pt>
                <c:pt idx="61">
                  <c:v>7.625</c:v>
                </c:pt>
                <c:pt idx="62">
                  <c:v>7.75</c:v>
                </c:pt>
                <c:pt idx="63">
                  <c:v>7.8749999999999991</c:v>
                </c:pt>
                <c:pt idx="64">
                  <c:v>8</c:v>
                </c:pt>
                <c:pt idx="65">
                  <c:v>8.125</c:v>
                </c:pt>
                <c:pt idx="66">
                  <c:v>8.25</c:v>
                </c:pt>
                <c:pt idx="67">
                  <c:v>8.375</c:v>
                </c:pt>
                <c:pt idx="68">
                  <c:v>8.5</c:v>
                </c:pt>
                <c:pt idx="69">
                  <c:v>8.625</c:v>
                </c:pt>
                <c:pt idx="70">
                  <c:v>8.75</c:v>
                </c:pt>
                <c:pt idx="71">
                  <c:v>8.875</c:v>
                </c:pt>
                <c:pt idx="72">
                  <c:v>9</c:v>
                </c:pt>
                <c:pt idx="73">
                  <c:v>9.125</c:v>
                </c:pt>
                <c:pt idx="74">
                  <c:v>9.25</c:v>
                </c:pt>
                <c:pt idx="75">
                  <c:v>9.375</c:v>
                </c:pt>
                <c:pt idx="76">
                  <c:v>9.5</c:v>
                </c:pt>
                <c:pt idx="77">
                  <c:v>9.625</c:v>
                </c:pt>
                <c:pt idx="78">
                  <c:v>9.75</c:v>
                </c:pt>
                <c:pt idx="79">
                  <c:v>9.875</c:v>
                </c:pt>
                <c:pt idx="80">
                  <c:v>10</c:v>
                </c:pt>
                <c:pt idx="81">
                  <c:v>10.125</c:v>
                </c:pt>
                <c:pt idx="82">
                  <c:v>10.25</c:v>
                </c:pt>
                <c:pt idx="83">
                  <c:v>10.375</c:v>
                </c:pt>
                <c:pt idx="84">
                  <c:v>10.5</c:v>
                </c:pt>
                <c:pt idx="85">
                  <c:v>10.625</c:v>
                </c:pt>
                <c:pt idx="86">
                  <c:v>10.75</c:v>
                </c:pt>
                <c:pt idx="87">
                  <c:v>10.875</c:v>
                </c:pt>
                <c:pt idx="88">
                  <c:v>11</c:v>
                </c:pt>
                <c:pt idx="89">
                  <c:v>11.125</c:v>
                </c:pt>
                <c:pt idx="90">
                  <c:v>11.25</c:v>
                </c:pt>
                <c:pt idx="91">
                  <c:v>11.375</c:v>
                </c:pt>
                <c:pt idx="92">
                  <c:v>11.5</c:v>
                </c:pt>
                <c:pt idx="93">
                  <c:v>11.625</c:v>
                </c:pt>
                <c:pt idx="94">
                  <c:v>11.75</c:v>
                </c:pt>
                <c:pt idx="95">
                  <c:v>11.875</c:v>
                </c:pt>
                <c:pt idx="96">
                  <c:v>12</c:v>
                </c:pt>
                <c:pt idx="97">
                  <c:v>12.125</c:v>
                </c:pt>
                <c:pt idx="98">
                  <c:v>12.25</c:v>
                </c:pt>
                <c:pt idx="99">
                  <c:v>12.375</c:v>
                </c:pt>
                <c:pt idx="100">
                  <c:v>12.5</c:v>
                </c:pt>
                <c:pt idx="101">
                  <c:v>12.625</c:v>
                </c:pt>
              </c:numCache>
            </c:numRef>
          </c:xVal>
          <c:yVal>
            <c:numRef>
              <c:f>Start_up!$G$10:$G$112</c:f>
              <c:numCache>
                <c:formatCode>General</c:formatCode>
                <c:ptCount val="103"/>
                <c:pt idx="0">
                  <c:v>14.590589479249271</c:v>
                </c:pt>
                <c:pt idx="1">
                  <c:v>14.718653454775961</c:v>
                </c:pt>
                <c:pt idx="2">
                  <c:v>14.849228488646315</c:v>
                </c:pt>
                <c:pt idx="3">
                  <c:v>14.982389166751723</c:v>
                </c:pt>
                <c:pt idx="4">
                  <c:v>15.118213058419242</c:v>
                </c:pt>
                <c:pt idx="5">
                  <c:v>15.256780867090143</c:v>
                </c:pt>
                <c:pt idx="6">
                  <c:v>15.398176590223715</c:v>
                </c:pt>
                <c:pt idx="7">
                  <c:v>15.542487689092001</c:v>
                </c:pt>
                <c:pt idx="8">
                  <c:v>15.689805269186708</c:v>
                </c:pt>
                <c:pt idx="9">
                  <c:v>15.840224272020254</c:v>
                </c:pt>
                <c:pt idx="10">
                  <c:v>15.993843679169405</c:v>
                </c:pt>
                <c:pt idx="11">
                  <c:v>16.150766729483053</c:v>
                </c:pt>
                <c:pt idx="12">
                  <c:v>16.311101150455698</c:v>
                </c:pt>
                <c:pt idx="13">
                  <c:v>16.474959404856307</c:v>
                </c:pt>
                <c:pt idx="14">
                  <c:v>16.642458953799157</c:v>
                </c:pt>
                <c:pt idx="15">
                  <c:v>16.666666666666668</c:v>
                </c:pt>
                <c:pt idx="16">
                  <c:v>16.666666666666668</c:v>
                </c:pt>
                <c:pt idx="17">
                  <c:v>16.666666666666668</c:v>
                </c:pt>
                <c:pt idx="18">
                  <c:v>16.666666666666668</c:v>
                </c:pt>
                <c:pt idx="19">
                  <c:v>16.666666666666668</c:v>
                </c:pt>
                <c:pt idx="20">
                  <c:v>16.666666666666668</c:v>
                </c:pt>
                <c:pt idx="21">
                  <c:v>16.666666666666668</c:v>
                </c:pt>
                <c:pt idx="22">
                  <c:v>16.666666666666668</c:v>
                </c:pt>
                <c:pt idx="23">
                  <c:v>16.666666666666668</c:v>
                </c:pt>
                <c:pt idx="24">
                  <c:v>16.666666666666668</c:v>
                </c:pt>
                <c:pt idx="25">
                  <c:v>16.666666666666668</c:v>
                </c:pt>
                <c:pt idx="26">
                  <c:v>16.666666666666668</c:v>
                </c:pt>
                <c:pt idx="27">
                  <c:v>16.666666666666668</c:v>
                </c:pt>
                <c:pt idx="28">
                  <c:v>16.666666666666668</c:v>
                </c:pt>
                <c:pt idx="29">
                  <c:v>16.666666666666668</c:v>
                </c:pt>
                <c:pt idx="30">
                  <c:v>16.666666666666668</c:v>
                </c:pt>
                <c:pt idx="31">
                  <c:v>16.666666666666668</c:v>
                </c:pt>
                <c:pt idx="32">
                  <c:v>16.666666666666668</c:v>
                </c:pt>
                <c:pt idx="33">
                  <c:v>16.666666666666668</c:v>
                </c:pt>
                <c:pt idx="34">
                  <c:v>16.666666666666668</c:v>
                </c:pt>
                <c:pt idx="35">
                  <c:v>16.666666666666668</c:v>
                </c:pt>
                <c:pt idx="36">
                  <c:v>16.666666666666668</c:v>
                </c:pt>
                <c:pt idx="37">
                  <c:v>16.666666666666668</c:v>
                </c:pt>
                <c:pt idx="38">
                  <c:v>16.666666666666668</c:v>
                </c:pt>
                <c:pt idx="39">
                  <c:v>16.666666666666668</c:v>
                </c:pt>
                <c:pt idx="40">
                  <c:v>16.666666666666668</c:v>
                </c:pt>
                <c:pt idx="41">
                  <c:v>16.666666666666668</c:v>
                </c:pt>
                <c:pt idx="42">
                  <c:v>16.666666666666668</c:v>
                </c:pt>
                <c:pt idx="43">
                  <c:v>16.666666666666668</c:v>
                </c:pt>
                <c:pt idx="44">
                  <c:v>16.666666666666668</c:v>
                </c:pt>
                <c:pt idx="45">
                  <c:v>16.666666666666668</c:v>
                </c:pt>
                <c:pt idx="46">
                  <c:v>16.666666666666668</c:v>
                </c:pt>
                <c:pt idx="47">
                  <c:v>16.666666666666668</c:v>
                </c:pt>
                <c:pt idx="48">
                  <c:v>16.666666666666668</c:v>
                </c:pt>
                <c:pt idx="49">
                  <c:v>16.666666666666668</c:v>
                </c:pt>
                <c:pt idx="50">
                  <c:v>16.666666666666668</c:v>
                </c:pt>
                <c:pt idx="51">
                  <c:v>16.666666666666668</c:v>
                </c:pt>
                <c:pt idx="52">
                  <c:v>16.666666666666668</c:v>
                </c:pt>
                <c:pt idx="53">
                  <c:v>16.666666666666668</c:v>
                </c:pt>
                <c:pt idx="54">
                  <c:v>16.666666666666668</c:v>
                </c:pt>
                <c:pt idx="55">
                  <c:v>16.666666666666668</c:v>
                </c:pt>
                <c:pt idx="56">
                  <c:v>16.666666666666668</c:v>
                </c:pt>
                <c:pt idx="57">
                  <c:v>16.666666666666668</c:v>
                </c:pt>
                <c:pt idx="58">
                  <c:v>16.666666666666668</c:v>
                </c:pt>
                <c:pt idx="59">
                  <c:v>16.666666666666668</c:v>
                </c:pt>
                <c:pt idx="60">
                  <c:v>16.666666666666668</c:v>
                </c:pt>
                <c:pt idx="61">
                  <c:v>16.666666666666668</c:v>
                </c:pt>
                <c:pt idx="62">
                  <c:v>16.666666666666668</c:v>
                </c:pt>
                <c:pt idx="63">
                  <c:v>16.666666666666668</c:v>
                </c:pt>
                <c:pt idx="64">
                  <c:v>16.666666666666668</c:v>
                </c:pt>
                <c:pt idx="65">
                  <c:v>16.666666666666668</c:v>
                </c:pt>
                <c:pt idx="66">
                  <c:v>16.666666666666668</c:v>
                </c:pt>
                <c:pt idx="67">
                  <c:v>16.666666666666668</c:v>
                </c:pt>
                <c:pt idx="68">
                  <c:v>16.666666666666668</c:v>
                </c:pt>
                <c:pt idx="69">
                  <c:v>16.666666666666668</c:v>
                </c:pt>
                <c:pt idx="70">
                  <c:v>16.666666666666668</c:v>
                </c:pt>
                <c:pt idx="71">
                  <c:v>16.666666666666668</c:v>
                </c:pt>
                <c:pt idx="72">
                  <c:v>16.666666666666668</c:v>
                </c:pt>
                <c:pt idx="73">
                  <c:v>16.666666666666668</c:v>
                </c:pt>
                <c:pt idx="74">
                  <c:v>16.666666666666668</c:v>
                </c:pt>
                <c:pt idx="75">
                  <c:v>16.666666666666668</c:v>
                </c:pt>
                <c:pt idx="76">
                  <c:v>16.666666666666668</c:v>
                </c:pt>
                <c:pt idx="77">
                  <c:v>16.666666666666668</c:v>
                </c:pt>
                <c:pt idx="78">
                  <c:v>16.666666666666668</c:v>
                </c:pt>
                <c:pt idx="79">
                  <c:v>16.666666666666668</c:v>
                </c:pt>
                <c:pt idx="80">
                  <c:v>16.666666666666668</c:v>
                </c:pt>
                <c:pt idx="81">
                  <c:v>16.666666666666668</c:v>
                </c:pt>
                <c:pt idx="82">
                  <c:v>16.666666666666668</c:v>
                </c:pt>
                <c:pt idx="83">
                  <c:v>16.666666666666668</c:v>
                </c:pt>
                <c:pt idx="84">
                  <c:v>16.666666666666668</c:v>
                </c:pt>
                <c:pt idx="85">
                  <c:v>16.666666666666668</c:v>
                </c:pt>
                <c:pt idx="86">
                  <c:v>16.666666666666668</c:v>
                </c:pt>
                <c:pt idx="87">
                  <c:v>16.666666666666668</c:v>
                </c:pt>
                <c:pt idx="88">
                  <c:v>16.666666666666668</c:v>
                </c:pt>
                <c:pt idx="89">
                  <c:v>16.666666666666668</c:v>
                </c:pt>
                <c:pt idx="90">
                  <c:v>16.666666666666668</c:v>
                </c:pt>
                <c:pt idx="91">
                  <c:v>16.666666666666668</c:v>
                </c:pt>
                <c:pt idx="92">
                  <c:v>16.666666666666668</c:v>
                </c:pt>
                <c:pt idx="93">
                  <c:v>16.666666666666668</c:v>
                </c:pt>
                <c:pt idx="94">
                  <c:v>16.666666666666668</c:v>
                </c:pt>
                <c:pt idx="95">
                  <c:v>16.666666666666668</c:v>
                </c:pt>
                <c:pt idx="96">
                  <c:v>16.666666666666668</c:v>
                </c:pt>
                <c:pt idx="97">
                  <c:v>16.666666666666668</c:v>
                </c:pt>
                <c:pt idx="98">
                  <c:v>16.666666666666668</c:v>
                </c:pt>
                <c:pt idx="99">
                  <c:v>16.666666666666668</c:v>
                </c:pt>
                <c:pt idx="100">
                  <c:v>16.666666666666668</c:v>
                </c:pt>
                <c:pt idx="101">
                  <c:v>16.666666666666668</c:v>
                </c:pt>
                <c:pt idx="102">
                  <c:v>16.666666666666668</c:v>
                </c:pt>
              </c:numCache>
            </c:numRef>
          </c:yVal>
          <c:smooth val="1"/>
          <c:extLst>
            <c:ext xmlns:c16="http://schemas.microsoft.com/office/drawing/2014/chart" uri="{C3380CC4-5D6E-409C-BE32-E72D297353CC}">
              <c16:uniqueId val="{00000001-58E8-4C89-88B4-24B4EEC1E491}"/>
            </c:ext>
          </c:extLst>
        </c:ser>
        <c:dLbls>
          <c:showLegendKey val="0"/>
          <c:showVal val="0"/>
          <c:showCatName val="0"/>
          <c:showSerName val="0"/>
          <c:showPercent val="0"/>
          <c:showBubbleSize val="0"/>
        </c:dLbls>
        <c:axId val="161790976"/>
        <c:axId val="161793152"/>
      </c:scatterChart>
      <c:valAx>
        <c:axId val="161790976"/>
        <c:scaling>
          <c:orientation val="minMax"/>
        </c:scaling>
        <c:delete val="0"/>
        <c:axPos val="b"/>
        <c:title>
          <c:tx>
            <c:rich>
              <a:bodyPr/>
              <a:lstStyle/>
              <a:p>
                <a:pPr>
                  <a:defRPr/>
                </a:pPr>
                <a:r>
                  <a:rPr lang="en-US"/>
                  <a:t>Output</a:t>
                </a:r>
                <a:r>
                  <a:rPr lang="en-US" baseline="0"/>
                  <a:t> Voltage (V)</a:t>
                </a:r>
                <a:endParaRPr lang="en-US"/>
              </a:p>
            </c:rich>
          </c:tx>
          <c:overlay val="0"/>
        </c:title>
        <c:numFmt formatCode="0.00" sourceLinked="1"/>
        <c:majorTickMark val="out"/>
        <c:minorTickMark val="none"/>
        <c:tickLblPos val="nextTo"/>
        <c:crossAx val="161793152"/>
        <c:crosses val="autoZero"/>
        <c:crossBetween val="midCat"/>
      </c:valAx>
      <c:valAx>
        <c:axId val="161793152"/>
        <c:scaling>
          <c:orientation val="minMax"/>
          <c:min val="0"/>
        </c:scaling>
        <c:delete val="0"/>
        <c:axPos val="l"/>
        <c:majorGridlines/>
        <c:title>
          <c:tx>
            <c:rich>
              <a:bodyPr rot="-5400000" vert="horz"/>
              <a:lstStyle/>
              <a:p>
                <a:pPr>
                  <a:defRPr/>
                </a:pPr>
                <a:r>
                  <a:rPr lang="en-US"/>
                  <a:t>Current (A)</a:t>
                </a:r>
              </a:p>
            </c:rich>
          </c:tx>
          <c:overlay val="0"/>
        </c:title>
        <c:numFmt formatCode="0.000" sourceLinked="1"/>
        <c:majorTickMark val="out"/>
        <c:minorTickMark val="none"/>
        <c:tickLblPos val="nextTo"/>
        <c:crossAx val="161790976"/>
        <c:crosses val="autoZero"/>
        <c:crossBetween val="midCat"/>
      </c:valAx>
    </c:plotArea>
    <c:legend>
      <c:legendPos val="r"/>
      <c:layout>
        <c:manualLayout>
          <c:xMode val="edge"/>
          <c:yMode val="edge"/>
          <c:x val="0.34624252358789726"/>
          <c:y val="0.24479126489117176"/>
          <c:w val="0.21462230092985587"/>
          <c:h val="0.16792443955258282"/>
        </c:manualLayout>
      </c:layout>
      <c:overlay val="0"/>
      <c:spPr>
        <a:solidFill>
          <a:sysClr val="window" lastClr="FFFFFF"/>
        </a:solidFill>
        <a:ln>
          <a:solidFill>
            <a:schemeClr val="tx1"/>
          </a:solidFill>
        </a:ln>
      </c:spPr>
      <c:txPr>
        <a:bodyPr/>
        <a:lstStyle/>
        <a:p>
          <a:pPr>
            <a:defRPr>
              <a:ln>
                <a:solidFill>
                  <a:sysClr val="windowText" lastClr="000000"/>
                </a:solidFill>
              </a:ln>
            </a:defRPr>
          </a:pPr>
          <a:endParaRPr lang="es-ES"/>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image" Target="../media/image9.png"/><Relationship Id="rId18" Type="http://schemas.openxmlformats.org/officeDocument/2006/relationships/image" Target="../media/image12.png"/><Relationship Id="rId3" Type="http://schemas.openxmlformats.org/officeDocument/2006/relationships/hyperlink" Target="http://www.ti.com" TargetMode="External"/><Relationship Id="rId21" Type="http://schemas.openxmlformats.org/officeDocument/2006/relationships/hyperlink" Target="https://training.ti.com/node/1133664" TargetMode="External"/><Relationship Id="rId7" Type="http://schemas.openxmlformats.org/officeDocument/2006/relationships/image" Target="../media/image6.emf"/><Relationship Id="rId12" Type="http://schemas.openxmlformats.org/officeDocument/2006/relationships/chart" Target="../charts/chart3.xml"/><Relationship Id="rId17" Type="http://schemas.openxmlformats.org/officeDocument/2006/relationships/hyperlink" Target="https://training.ti.com/node/1133677" TargetMode="External"/><Relationship Id="rId2" Type="http://schemas.openxmlformats.org/officeDocument/2006/relationships/hyperlink" Target="http://www.ti.com/lit/gpn/lm25066" TargetMode="External"/><Relationship Id="rId16" Type="http://schemas.openxmlformats.org/officeDocument/2006/relationships/image" Target="../media/image11.png"/><Relationship Id="rId20" Type="http://schemas.openxmlformats.org/officeDocument/2006/relationships/image" Target="../media/image13.png"/><Relationship Id="rId1" Type="http://schemas.openxmlformats.org/officeDocument/2006/relationships/image" Target="../media/image2.jpeg"/><Relationship Id="rId6" Type="http://schemas.openxmlformats.org/officeDocument/2006/relationships/image" Target="../media/image5.png"/><Relationship Id="rId11" Type="http://schemas.openxmlformats.org/officeDocument/2006/relationships/chart" Target="../charts/chart2.xml"/><Relationship Id="rId24" Type="http://schemas.openxmlformats.org/officeDocument/2006/relationships/image" Target="../media/image15.png"/><Relationship Id="rId5" Type="http://schemas.openxmlformats.org/officeDocument/2006/relationships/image" Target="../media/image4.emf"/><Relationship Id="rId15" Type="http://schemas.openxmlformats.org/officeDocument/2006/relationships/hyperlink" Target="http://www.ti.com/power-management/protection-monitoring-hot-swap/controllers/support-training.html#videos" TargetMode="External"/><Relationship Id="rId23" Type="http://schemas.openxmlformats.org/officeDocument/2006/relationships/hyperlink" Target="https://training.ti.com/node/1133681" TargetMode="External"/><Relationship Id="rId10" Type="http://schemas.openxmlformats.org/officeDocument/2006/relationships/chart" Target="../charts/chart1.xml"/><Relationship Id="rId19" Type="http://schemas.openxmlformats.org/officeDocument/2006/relationships/hyperlink" Target="https://training.ti.com/node/1133673" TargetMode="External"/><Relationship Id="rId4" Type="http://schemas.openxmlformats.org/officeDocument/2006/relationships/image" Target="../media/image3.png"/><Relationship Id="rId9" Type="http://schemas.openxmlformats.org/officeDocument/2006/relationships/image" Target="../media/image8.jpeg"/><Relationship Id="rId14" Type="http://schemas.openxmlformats.org/officeDocument/2006/relationships/image" Target="../media/image10.png"/><Relationship Id="rId22" Type="http://schemas.openxmlformats.org/officeDocument/2006/relationships/image" Target="../media/image14.png"/></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95250</xdr:rowOff>
    </xdr:from>
    <xdr:to>
      <xdr:col>15</xdr:col>
      <xdr:colOff>581025</xdr:colOff>
      <xdr:row>5</xdr:row>
      <xdr:rowOff>28575</xdr:rowOff>
    </xdr:to>
    <xdr:sp macro="" textlink="">
      <xdr:nvSpPr>
        <xdr:cNvPr id="2" name="Rectangle 1"/>
        <xdr:cNvSpPr>
          <a:spLocks noChangeArrowheads="1"/>
        </xdr:cNvSpPr>
      </xdr:nvSpPr>
      <xdr:spPr bwMode="auto">
        <a:xfrm>
          <a:off x="0" y="266700"/>
          <a:ext cx="9725025" cy="9334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0</xdr:col>
      <xdr:colOff>114300</xdr:colOff>
      <xdr:row>2</xdr:row>
      <xdr:rowOff>0</xdr:rowOff>
    </xdr:from>
    <xdr:to>
      <xdr:col>4</xdr:col>
      <xdr:colOff>0</xdr:colOff>
      <xdr:row>4</xdr:row>
      <xdr:rowOff>104775</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333375"/>
          <a:ext cx="2324100"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124</xdr:row>
      <xdr:rowOff>85724</xdr:rowOff>
    </xdr:from>
    <xdr:to>
      <xdr:col>4</xdr:col>
      <xdr:colOff>828675</xdr:colOff>
      <xdr:row>139</xdr:row>
      <xdr:rowOff>121078</xdr:rowOff>
    </xdr:to>
    <xdr:pic>
      <xdr:nvPicPr>
        <xdr:cNvPr id="9" name="Picture 8"/>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0993099"/>
          <a:ext cx="4953000" cy="2883329"/>
        </a:xfrm>
        <a:prstGeom prst="rect">
          <a:avLst/>
        </a:prstGeom>
      </xdr:spPr>
    </xdr:pic>
    <xdr:clientData/>
  </xdr:twoCellAnchor>
  <xdr:twoCellAnchor>
    <xdr:from>
      <xdr:col>0</xdr:col>
      <xdr:colOff>26669</xdr:colOff>
      <xdr:row>1</xdr:row>
      <xdr:rowOff>104775</xdr:rowOff>
    </xdr:from>
    <xdr:to>
      <xdr:col>7</xdr:col>
      <xdr:colOff>19050</xdr:colOff>
      <xdr:row>7</xdr:row>
      <xdr:rowOff>33617</xdr:rowOff>
    </xdr:to>
    <xdr:sp macro="" textlink="">
      <xdr:nvSpPr>
        <xdr:cNvPr id="1025" name="Text Box 1">
          <a:hlinkClick xmlns:r="http://schemas.openxmlformats.org/officeDocument/2006/relationships" r:id="rId2"/>
        </xdr:cNvPr>
        <xdr:cNvSpPr txBox="1">
          <a:spLocks noChangeArrowheads="1"/>
        </xdr:cNvSpPr>
      </xdr:nvSpPr>
      <xdr:spPr bwMode="auto">
        <a:xfrm>
          <a:off x="26669" y="877981"/>
          <a:ext cx="6973646" cy="914960"/>
        </a:xfrm>
        <a:prstGeom prst="rect">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en-US" sz="1200" b="1" i="0" u="sng" strike="noStrike" baseline="0">
              <a:solidFill>
                <a:srgbClr val="FF0000"/>
              </a:solidFill>
              <a:latin typeface="Arial"/>
              <a:cs typeface="Arial"/>
            </a:rPr>
            <a:t>Note</a:t>
          </a:r>
          <a:r>
            <a:rPr lang="en-US" sz="1200" b="1" i="0" u="none" strike="noStrike" baseline="0">
              <a:solidFill>
                <a:srgbClr val="FF0000"/>
              </a:solidFill>
              <a:latin typeface="Arial"/>
              <a:cs typeface="Arial"/>
            </a:rPr>
            <a:t>:</a:t>
          </a:r>
          <a:r>
            <a:rPr lang="en-US" sz="1200" b="0" i="0" u="none" strike="noStrike" baseline="0">
              <a:solidFill>
                <a:srgbClr val="FF0000"/>
              </a:solidFill>
              <a:latin typeface="Arial"/>
              <a:cs typeface="Arial"/>
            </a:rPr>
            <a:t> The components calculated in this worksheet are reasonable starting values for a design using the LM25066/I PMBus Hot-swap Controller. As such, they are not optimized for any particular performance attribute. Tolerances of the components are not included in the calculations. See the Instructions tab for additional information.</a:t>
          </a:r>
        </a:p>
        <a:p>
          <a:pPr algn="l" rtl="0">
            <a:defRPr sz="1000"/>
          </a:pPr>
          <a:r>
            <a:rPr lang="en-US" sz="1200" b="1" i="0" u="none" strike="noStrike" baseline="0">
              <a:solidFill>
                <a:sysClr val="windowText" lastClr="000000"/>
              </a:solidFill>
              <a:latin typeface="Arial"/>
              <a:cs typeface="Arial"/>
            </a:rPr>
            <a:t>Consult the LM25066/I datasheet for more detail.</a:t>
          </a:r>
        </a:p>
      </xdr:txBody>
    </xdr:sp>
    <xdr:clientData/>
  </xdr:twoCellAnchor>
  <xdr:twoCellAnchor>
    <xdr:from>
      <xdr:col>39</xdr:col>
      <xdr:colOff>0</xdr:colOff>
      <xdr:row>61</xdr:row>
      <xdr:rowOff>0</xdr:rowOff>
    </xdr:from>
    <xdr:to>
      <xdr:col>39</xdr:col>
      <xdr:colOff>0</xdr:colOff>
      <xdr:row>68</xdr:row>
      <xdr:rowOff>0</xdr:rowOff>
    </xdr:to>
    <xdr:sp macro="" textlink="">
      <xdr:nvSpPr>
        <xdr:cNvPr id="1056" name="Text Box 32"/>
        <xdr:cNvSpPr txBox="1">
          <a:spLocks noChangeArrowheads="1"/>
        </xdr:cNvSpPr>
      </xdr:nvSpPr>
      <xdr:spPr bwMode="auto">
        <a:xfrm>
          <a:off x="16821150" y="4267200"/>
          <a:ext cx="2276475" cy="8477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Max R</a:t>
          </a:r>
          <a:r>
            <a:rPr lang="en-US" sz="1000" b="0" i="0" u="none" strike="noStrike" baseline="-25000">
              <a:solidFill>
                <a:srgbClr val="000000"/>
              </a:solidFill>
              <a:latin typeface="Arial"/>
              <a:cs typeface="Arial"/>
            </a:rPr>
            <a:t>S</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45 mV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(Max Load Current x 1.01)</a:t>
          </a:r>
        </a:p>
        <a:p>
          <a:pPr algn="l" rtl="0">
            <a:defRPr sz="1000"/>
          </a:pPr>
          <a:endParaRPr lang="en-US" sz="1000" b="0" i="0" u="none" strike="noStrike" baseline="0">
            <a:solidFill>
              <a:srgbClr val="000000"/>
            </a:solidFill>
            <a:latin typeface="Arial"/>
            <a:cs typeface="Arial"/>
          </a:endParaRPr>
        </a:p>
        <a:p>
          <a:pPr algn="l" rtl="0">
            <a:defRPr sz="1000"/>
          </a:pPr>
          <a:r>
            <a:rPr lang="en-US" sz="800" b="0" i="0" u="none" strike="noStrike" baseline="0">
              <a:solidFill>
                <a:srgbClr val="000000"/>
              </a:solidFill>
              <a:latin typeface="Arial"/>
              <a:cs typeface="Arial"/>
            </a:rPr>
            <a:t>The 1.01 factor provides 1% margin from the max. normal load current.</a:t>
          </a:r>
        </a:p>
      </xdr:txBody>
    </xdr:sp>
    <xdr:clientData/>
  </xdr:twoCellAnchor>
  <xdr:twoCellAnchor editAs="oneCell">
    <xdr:from>
      <xdr:col>1</xdr:col>
      <xdr:colOff>50987</xdr:colOff>
      <xdr:row>0</xdr:row>
      <xdr:rowOff>171450</xdr:rowOff>
    </xdr:from>
    <xdr:to>
      <xdr:col>1</xdr:col>
      <xdr:colOff>1713717</xdr:colOff>
      <xdr:row>0</xdr:row>
      <xdr:rowOff>609600</xdr:rowOff>
    </xdr:to>
    <xdr:pic>
      <xdr:nvPicPr>
        <xdr:cNvPr id="10" name="Picture 9">
          <a:hlinkClick xmlns:r="http://schemas.openxmlformats.org/officeDocument/2006/relationships" r:id="rId3"/>
        </xdr:cNvPr>
        <xdr:cNvPicPr/>
      </xdr:nvPicPr>
      <xdr:blipFill>
        <a:blip xmlns:r="http://schemas.openxmlformats.org/officeDocument/2006/relationships" r:embed="rId4" cstate="print"/>
        <a:srcRect r="26499"/>
        <a:stretch>
          <a:fillRect/>
        </a:stretch>
      </xdr:blipFill>
      <xdr:spPr bwMode="auto">
        <a:xfrm>
          <a:off x="84605" y="171450"/>
          <a:ext cx="1662730" cy="438150"/>
        </a:xfrm>
        <a:prstGeom prst="rect">
          <a:avLst/>
        </a:prstGeom>
        <a:noFill/>
        <a:ln w="9525">
          <a:noFill/>
          <a:miter lim="800000"/>
          <a:headEnd/>
          <a:tailEnd/>
        </a:ln>
      </xdr:spPr>
    </xdr:pic>
    <xdr:clientData/>
  </xdr:twoCellAnchor>
  <xdr:twoCellAnchor editAs="oneCell">
    <xdr:from>
      <xdr:col>5</xdr:col>
      <xdr:colOff>95251</xdr:colOff>
      <xdr:row>163</xdr:row>
      <xdr:rowOff>95251</xdr:rowOff>
    </xdr:from>
    <xdr:to>
      <xdr:col>10</xdr:col>
      <xdr:colOff>632841</xdr:colOff>
      <xdr:row>163</xdr:row>
      <xdr:rowOff>97409</xdr:rowOff>
    </xdr:to>
    <xdr:pic>
      <xdr:nvPicPr>
        <xdr:cNvPr id="3" name="Picture 216"/>
        <xdr:cNvPicPr>
          <a:picLocks noChangeAspect="1" noChangeArrowheads="1"/>
        </xdr:cNvPicPr>
      </xdr:nvPicPr>
      <xdr:blipFill>
        <a:blip xmlns:r="http://schemas.openxmlformats.org/officeDocument/2006/relationships" r:embed="rId5" cstate="print"/>
        <a:srcRect/>
        <a:stretch>
          <a:fillRect/>
        </a:stretch>
      </xdr:blipFill>
      <xdr:spPr bwMode="auto">
        <a:xfrm>
          <a:off x="5467351" y="15116176"/>
          <a:ext cx="4019549" cy="653471"/>
        </a:xfrm>
        <a:prstGeom prst="rect">
          <a:avLst/>
        </a:prstGeom>
        <a:noFill/>
      </xdr:spPr>
    </xdr:pic>
    <xdr:clientData/>
  </xdr:twoCellAnchor>
  <xdr:twoCellAnchor>
    <xdr:from>
      <xdr:col>16</xdr:col>
      <xdr:colOff>714375</xdr:colOff>
      <xdr:row>0</xdr:row>
      <xdr:rowOff>114871</xdr:rowOff>
    </xdr:from>
    <xdr:to>
      <xdr:col>16</xdr:col>
      <xdr:colOff>2247900</xdr:colOff>
      <xdr:row>0</xdr:row>
      <xdr:rowOff>516906</xdr:rowOff>
    </xdr:to>
    <xdr:pic>
      <xdr:nvPicPr>
        <xdr:cNvPr id="11" name="Picture 84"/>
        <xdr:cNvPicPr>
          <a:picLocks noChangeAspect="1" noChangeArrowheads="1"/>
        </xdr:cNvPicPr>
      </xdr:nvPicPr>
      <xdr:blipFill>
        <a:blip xmlns:r="http://schemas.openxmlformats.org/officeDocument/2006/relationships" r:embed="rId6" cstate="print"/>
        <a:srcRect/>
        <a:stretch>
          <a:fillRect/>
        </a:stretch>
      </xdr:blipFill>
      <xdr:spPr bwMode="auto">
        <a:xfrm>
          <a:off x="10982325" y="114871"/>
          <a:ext cx="1533525" cy="402035"/>
        </a:xfrm>
        <a:prstGeom prst="rect">
          <a:avLst/>
        </a:prstGeom>
        <a:noFill/>
        <a:ln w="1">
          <a:noFill/>
          <a:miter lim="800000"/>
          <a:headEnd/>
          <a:tailEnd type="none" w="med" len="med"/>
        </a:ln>
        <a:effectLst/>
      </xdr:spPr>
    </xdr:pic>
    <xdr:clientData/>
  </xdr:twoCellAnchor>
  <xdr:twoCellAnchor editAs="oneCell">
    <xdr:from>
      <xdr:col>8</xdr:col>
      <xdr:colOff>251141</xdr:colOff>
      <xdr:row>96</xdr:row>
      <xdr:rowOff>168903</xdr:rowOff>
    </xdr:from>
    <xdr:to>
      <xdr:col>12</xdr:col>
      <xdr:colOff>298637</xdr:colOff>
      <xdr:row>106</xdr:row>
      <xdr:rowOff>92504</xdr:rowOff>
    </xdr:to>
    <xdr:pic>
      <xdr:nvPicPr>
        <xdr:cNvPr id="1253" name="Picture 229"/>
        <xdr:cNvPicPr>
          <a:picLocks noChangeAspect="1" noChangeArrowheads="1"/>
        </xdr:cNvPicPr>
      </xdr:nvPicPr>
      <xdr:blipFill>
        <a:blip xmlns:r="http://schemas.openxmlformats.org/officeDocument/2006/relationships" r:embed="rId7" cstate="print"/>
        <a:srcRect/>
        <a:stretch>
          <a:fillRect/>
        </a:stretch>
      </xdr:blipFill>
      <xdr:spPr bwMode="auto">
        <a:xfrm>
          <a:off x="8077329" y="15713703"/>
          <a:ext cx="2862414" cy="1806189"/>
        </a:xfrm>
        <a:prstGeom prst="rect">
          <a:avLst/>
        </a:prstGeom>
        <a:noFill/>
      </xdr:spPr>
    </xdr:pic>
    <xdr:clientData/>
  </xdr:twoCellAnchor>
  <xdr:twoCellAnchor editAs="oneCell">
    <xdr:from>
      <xdr:col>8</xdr:col>
      <xdr:colOff>354105</xdr:colOff>
      <xdr:row>109</xdr:row>
      <xdr:rowOff>68918</xdr:rowOff>
    </xdr:from>
    <xdr:to>
      <xdr:col>12</xdr:col>
      <xdr:colOff>397249</xdr:colOff>
      <xdr:row>119</xdr:row>
      <xdr:rowOff>20973</xdr:rowOff>
    </xdr:to>
    <xdr:pic>
      <xdr:nvPicPr>
        <xdr:cNvPr id="1254" name="Picture 230"/>
        <xdr:cNvPicPr>
          <a:picLocks noChangeAspect="1" noChangeArrowheads="1"/>
        </xdr:cNvPicPr>
      </xdr:nvPicPr>
      <xdr:blipFill>
        <a:blip xmlns:r="http://schemas.openxmlformats.org/officeDocument/2006/relationships" r:embed="rId8" cstate="print"/>
        <a:srcRect/>
        <a:stretch>
          <a:fillRect/>
        </a:stretch>
      </xdr:blipFill>
      <xdr:spPr bwMode="auto">
        <a:xfrm>
          <a:off x="7723093" y="17550094"/>
          <a:ext cx="2858062" cy="1834643"/>
        </a:xfrm>
        <a:prstGeom prst="rect">
          <a:avLst/>
        </a:prstGeom>
        <a:noFill/>
      </xdr:spPr>
    </xdr:pic>
    <xdr:clientData/>
  </xdr:twoCellAnchor>
  <xdr:twoCellAnchor editAs="oneCell">
    <xdr:from>
      <xdr:col>8</xdr:col>
      <xdr:colOff>72838</xdr:colOff>
      <xdr:row>3</xdr:row>
      <xdr:rowOff>160243</xdr:rowOff>
    </xdr:from>
    <xdr:to>
      <xdr:col>10</xdr:col>
      <xdr:colOff>7843</xdr:colOff>
      <xdr:row>9</xdr:row>
      <xdr:rowOff>188143</xdr:rowOff>
    </xdr:to>
    <xdr:pic>
      <xdr:nvPicPr>
        <xdr:cNvPr id="17" name="Picture 16" descr="LM25066IA IC photo.jpg"/>
        <xdr:cNvPicPr>
          <a:picLocks noChangeAspect="1"/>
        </xdr:cNvPicPr>
      </xdr:nvPicPr>
      <xdr:blipFill>
        <a:blip xmlns:r="http://schemas.openxmlformats.org/officeDocument/2006/relationships" r:embed="rId9" cstate="print"/>
        <a:stretch>
          <a:fillRect/>
        </a:stretch>
      </xdr:blipFill>
      <xdr:spPr>
        <a:xfrm>
          <a:off x="7441826" y="1298761"/>
          <a:ext cx="1432112" cy="1067806"/>
        </a:xfrm>
        <a:prstGeom prst="rect">
          <a:avLst/>
        </a:prstGeom>
      </xdr:spPr>
    </xdr:pic>
    <xdr:clientData/>
  </xdr:twoCellAnchor>
  <xdr:twoCellAnchor>
    <xdr:from>
      <xdr:col>7</xdr:col>
      <xdr:colOff>274321</xdr:colOff>
      <xdr:row>51</xdr:row>
      <xdr:rowOff>76201</xdr:rowOff>
    </xdr:from>
    <xdr:to>
      <xdr:col>38</xdr:col>
      <xdr:colOff>209550</xdr:colOff>
      <xdr:row>66</xdr:row>
      <xdr:rowOff>107950</xdr:rowOff>
    </xdr:to>
    <xdr:graphicFrame macro="">
      <xdr:nvGraphicFramePr>
        <xdr:cNvPr id="19" name="Chart 10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oneCellAnchor>
    <xdr:from>
      <xdr:col>8</xdr:col>
      <xdr:colOff>53340</xdr:colOff>
      <xdr:row>43</xdr:row>
      <xdr:rowOff>175260</xdr:rowOff>
    </xdr:from>
    <xdr:ext cx="184731" cy="264560"/>
    <xdr:sp macro="" textlink="">
      <xdr:nvSpPr>
        <xdr:cNvPr id="4" name="TextBox 3"/>
        <xdr:cNvSpPr txBox="1"/>
      </xdr:nvSpPr>
      <xdr:spPr>
        <a:xfrm>
          <a:off x="7726680" y="5196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7</xdr:col>
      <xdr:colOff>220084</xdr:colOff>
      <xdr:row>68</xdr:row>
      <xdr:rowOff>94131</xdr:rowOff>
    </xdr:from>
    <xdr:to>
      <xdr:col>38</xdr:col>
      <xdr:colOff>215153</xdr:colOff>
      <xdr:row>82</xdr:row>
      <xdr:rowOff>71718</xdr:rowOff>
    </xdr:to>
    <xdr:graphicFrame macro="">
      <xdr:nvGraphicFramePr>
        <xdr:cNvPr id="16"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oneCellAnchor>
    <xdr:from>
      <xdr:col>11</xdr:col>
      <xdr:colOff>434340</xdr:colOff>
      <xdr:row>57</xdr:row>
      <xdr:rowOff>91440</xdr:rowOff>
    </xdr:from>
    <xdr:ext cx="184731" cy="264560"/>
    <xdr:sp macro="" textlink="">
      <xdr:nvSpPr>
        <xdr:cNvPr id="5" name="TextBox 4"/>
        <xdr:cNvSpPr txBox="1"/>
      </xdr:nvSpPr>
      <xdr:spPr>
        <a:xfrm>
          <a:off x="10309860" y="77419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7</xdr:col>
      <xdr:colOff>227938</xdr:colOff>
      <xdr:row>82</xdr:row>
      <xdr:rowOff>116542</xdr:rowOff>
    </xdr:from>
    <xdr:to>
      <xdr:col>38</xdr:col>
      <xdr:colOff>318052</xdr:colOff>
      <xdr:row>93</xdr:row>
      <xdr:rowOff>51646</xdr:rowOff>
    </xdr:to>
    <xdr:graphicFrame macro="">
      <xdr:nvGraphicFramePr>
        <xdr:cNvPr id="18"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oneCellAnchor>
    <xdr:from>
      <xdr:col>12</xdr:col>
      <xdr:colOff>662940</xdr:colOff>
      <xdr:row>70</xdr:row>
      <xdr:rowOff>30480</xdr:rowOff>
    </xdr:from>
    <xdr:ext cx="184731" cy="264560"/>
    <xdr:sp macro="" textlink="">
      <xdr:nvSpPr>
        <xdr:cNvPr id="2" name="TextBox 1"/>
        <xdr:cNvSpPr txBox="1"/>
      </xdr:nvSpPr>
      <xdr:spPr>
        <a:xfrm>
          <a:off x="11193780" y="98602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8</xdr:col>
      <xdr:colOff>425823</xdr:colOff>
      <xdr:row>37</xdr:row>
      <xdr:rowOff>168088</xdr:rowOff>
    </xdr:from>
    <xdr:to>
      <xdr:col>12</xdr:col>
      <xdr:colOff>280147</xdr:colOff>
      <xdr:row>49</xdr:row>
      <xdr:rowOff>38824</xdr:rowOff>
    </xdr:to>
    <xdr:grpSp>
      <xdr:nvGrpSpPr>
        <xdr:cNvPr id="7" name="Group 6"/>
        <xdr:cNvGrpSpPr/>
      </xdr:nvGrpSpPr>
      <xdr:grpSpPr>
        <a:xfrm>
          <a:off x="8034617" y="8101853"/>
          <a:ext cx="2577354" cy="2156736"/>
          <a:chOff x="8068234" y="4549588"/>
          <a:chExt cx="2599765" cy="2156736"/>
        </a:xfrm>
      </xdr:grpSpPr>
      <xdr:grpSp>
        <xdr:nvGrpSpPr>
          <xdr:cNvPr id="20" name="Group 19"/>
          <xdr:cNvGrpSpPr/>
        </xdr:nvGrpSpPr>
        <xdr:grpSpPr>
          <a:xfrm>
            <a:off x="8068234" y="4549588"/>
            <a:ext cx="2599765" cy="2156736"/>
            <a:chOff x="8000997" y="4398069"/>
            <a:chExt cx="2861885" cy="2548942"/>
          </a:xfrm>
        </xdr:grpSpPr>
        <xdr:grpSp>
          <xdr:nvGrpSpPr>
            <xdr:cNvPr id="21" name="Group 20"/>
            <xdr:cNvGrpSpPr/>
          </xdr:nvGrpSpPr>
          <xdr:grpSpPr>
            <a:xfrm>
              <a:off x="8000997" y="4398069"/>
              <a:ext cx="2861885" cy="2548942"/>
              <a:chOff x="7507942" y="4356356"/>
              <a:chExt cx="2857500" cy="2548942"/>
            </a:xfrm>
          </xdr:grpSpPr>
          <xdr:pic>
            <xdr:nvPicPr>
              <xdr:cNvPr id="23" name="Picture 22"/>
              <xdr:cNvPicPr>
                <a:picLocks noChangeAspect="1"/>
              </xdr:cNvPicPr>
            </xdr:nvPicPr>
            <xdr:blipFill>
              <a:blip xmlns:r="http://schemas.openxmlformats.org/officeDocument/2006/relationships" r:embed="rId13"/>
              <a:stretch>
                <a:fillRect/>
              </a:stretch>
            </xdr:blipFill>
            <xdr:spPr>
              <a:xfrm>
                <a:off x="7507942" y="4356356"/>
                <a:ext cx="2857500" cy="2548942"/>
              </a:xfrm>
              <a:prstGeom prst="rect">
                <a:avLst/>
              </a:prstGeom>
            </xdr:spPr>
          </xdr:pic>
          <xdr:sp macro="" textlink="">
            <xdr:nvSpPr>
              <xdr:cNvPr id="24" name="TextBox 23"/>
              <xdr:cNvSpPr txBox="1"/>
            </xdr:nvSpPr>
            <xdr:spPr>
              <a:xfrm>
                <a:off x="8561294" y="5154706"/>
                <a:ext cx="593913" cy="246530"/>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0">
                    <a:latin typeface="Arial" panose="020B0604020202020204" pitchFamily="34" charset="0"/>
                    <a:cs typeface="Arial" panose="020B0604020202020204" pitchFamily="34" charset="0"/>
                  </a:rPr>
                  <a:t>R</a:t>
                </a:r>
                <a:r>
                  <a:rPr lang="en-US" sz="1200" b="0" baseline="-25000">
                    <a:latin typeface="Arial" panose="020B0604020202020204" pitchFamily="34" charset="0"/>
                    <a:cs typeface="Arial" panose="020B0604020202020204" pitchFamily="34" charset="0"/>
                  </a:rPr>
                  <a:t>CL1</a:t>
                </a:r>
              </a:p>
            </xdr:txBody>
          </xdr:sp>
          <xdr:sp macro="" textlink="">
            <xdr:nvSpPr>
              <xdr:cNvPr id="25" name="TextBox 24"/>
              <xdr:cNvSpPr txBox="1"/>
            </xdr:nvSpPr>
            <xdr:spPr>
              <a:xfrm>
                <a:off x="9397253" y="5038165"/>
                <a:ext cx="593913" cy="377687"/>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0">
                    <a:latin typeface="Arial" panose="020B0604020202020204" pitchFamily="34" charset="0"/>
                    <a:cs typeface="Arial" panose="020B0604020202020204" pitchFamily="34" charset="0"/>
                  </a:rPr>
                  <a:t>R</a:t>
                </a:r>
                <a:r>
                  <a:rPr lang="en-US" sz="1200" b="0" baseline="-25000">
                    <a:latin typeface="Arial" panose="020B0604020202020204" pitchFamily="34" charset="0"/>
                    <a:cs typeface="Arial" panose="020B0604020202020204" pitchFamily="34" charset="0"/>
                  </a:rPr>
                  <a:t>CL2</a:t>
                </a:r>
              </a:p>
            </xdr:txBody>
          </xdr:sp>
        </xdr:grpSp>
        <xdr:sp macro="" textlink="">
          <xdr:nvSpPr>
            <xdr:cNvPr id="22" name="Rectangle 21"/>
            <xdr:cNvSpPr/>
          </xdr:nvSpPr>
          <xdr:spPr>
            <a:xfrm>
              <a:off x="10510630" y="6493565"/>
              <a:ext cx="99392" cy="281609"/>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pic>
        <xdr:nvPicPr>
          <xdr:cNvPr id="6" name="Picture 5"/>
          <xdr:cNvPicPr>
            <a:picLocks noChangeAspect="1"/>
          </xdr:cNvPicPr>
        </xdr:nvPicPr>
        <xdr:blipFill>
          <a:blip xmlns:r="http://schemas.openxmlformats.org/officeDocument/2006/relationships" r:embed="rId14"/>
          <a:stretch>
            <a:fillRect/>
          </a:stretch>
        </xdr:blipFill>
        <xdr:spPr>
          <a:xfrm>
            <a:off x="8886264" y="6249594"/>
            <a:ext cx="1559202" cy="381326"/>
          </a:xfrm>
          <a:prstGeom prst="rect">
            <a:avLst/>
          </a:prstGeom>
        </xdr:spPr>
      </xdr:pic>
    </xdr:grpSp>
    <xdr:clientData/>
  </xdr:twoCellAnchor>
  <xdr:twoCellAnchor editAs="oneCell">
    <xdr:from>
      <xdr:col>1</xdr:col>
      <xdr:colOff>38100</xdr:colOff>
      <xdr:row>14</xdr:row>
      <xdr:rowOff>12700</xdr:rowOff>
    </xdr:from>
    <xdr:to>
      <xdr:col>1</xdr:col>
      <xdr:colOff>1738489</xdr:colOff>
      <xdr:row>21</xdr:row>
      <xdr:rowOff>197945</xdr:rowOff>
    </xdr:to>
    <xdr:pic>
      <xdr:nvPicPr>
        <xdr:cNvPr id="26" name="Picture 25">
          <a:hlinkClick xmlns:r="http://schemas.openxmlformats.org/officeDocument/2006/relationships" r:id="rId15"/>
        </xdr:cNvPr>
        <xdr:cNvPicPr>
          <a:picLocks noChangeAspect="1"/>
        </xdr:cNvPicPr>
      </xdr:nvPicPr>
      <xdr:blipFill>
        <a:blip xmlns:r="http://schemas.openxmlformats.org/officeDocument/2006/relationships" r:embed="rId16"/>
        <a:stretch>
          <a:fillRect/>
        </a:stretch>
      </xdr:blipFill>
      <xdr:spPr>
        <a:xfrm>
          <a:off x="69850" y="3251200"/>
          <a:ext cx="1700389" cy="1518745"/>
        </a:xfrm>
        <a:prstGeom prst="rect">
          <a:avLst/>
        </a:prstGeom>
      </xdr:spPr>
    </xdr:pic>
    <xdr:clientData/>
  </xdr:twoCellAnchor>
  <xdr:twoCellAnchor editAs="oneCell">
    <xdr:from>
      <xdr:col>1</xdr:col>
      <xdr:colOff>38100</xdr:colOff>
      <xdr:row>27</xdr:row>
      <xdr:rowOff>12700</xdr:rowOff>
    </xdr:from>
    <xdr:to>
      <xdr:col>1</xdr:col>
      <xdr:colOff>1784585</xdr:colOff>
      <xdr:row>32</xdr:row>
      <xdr:rowOff>2755</xdr:rowOff>
    </xdr:to>
    <xdr:pic>
      <xdr:nvPicPr>
        <xdr:cNvPr id="27" name="Picture 26">
          <a:hlinkClick xmlns:r="http://schemas.openxmlformats.org/officeDocument/2006/relationships" r:id="rId17"/>
        </xdr:cNvPr>
        <xdr:cNvPicPr>
          <a:picLocks noChangeAspect="1"/>
        </xdr:cNvPicPr>
      </xdr:nvPicPr>
      <xdr:blipFill>
        <a:blip xmlns:r="http://schemas.openxmlformats.org/officeDocument/2006/relationships" r:embed="rId18"/>
        <a:stretch>
          <a:fillRect/>
        </a:stretch>
      </xdr:blipFill>
      <xdr:spPr>
        <a:xfrm>
          <a:off x="69850" y="6045200"/>
          <a:ext cx="1746485" cy="942555"/>
        </a:xfrm>
        <a:prstGeom prst="rect">
          <a:avLst/>
        </a:prstGeom>
      </xdr:spPr>
    </xdr:pic>
    <xdr:clientData/>
  </xdr:twoCellAnchor>
  <xdr:twoCellAnchor editAs="oneCell">
    <xdr:from>
      <xdr:col>1</xdr:col>
      <xdr:colOff>25400</xdr:colOff>
      <xdr:row>37</xdr:row>
      <xdr:rowOff>19050</xdr:rowOff>
    </xdr:from>
    <xdr:to>
      <xdr:col>1</xdr:col>
      <xdr:colOff>1771885</xdr:colOff>
      <xdr:row>42</xdr:row>
      <xdr:rowOff>9105</xdr:rowOff>
    </xdr:to>
    <xdr:pic>
      <xdr:nvPicPr>
        <xdr:cNvPr id="28" name="Picture 27">
          <a:hlinkClick xmlns:r="http://schemas.openxmlformats.org/officeDocument/2006/relationships" r:id="rId17"/>
        </xdr:cNvPr>
        <xdr:cNvPicPr>
          <a:picLocks noChangeAspect="1"/>
        </xdr:cNvPicPr>
      </xdr:nvPicPr>
      <xdr:blipFill>
        <a:blip xmlns:r="http://schemas.openxmlformats.org/officeDocument/2006/relationships" r:embed="rId18"/>
        <a:stretch>
          <a:fillRect/>
        </a:stretch>
      </xdr:blipFill>
      <xdr:spPr>
        <a:xfrm>
          <a:off x="57150" y="7956550"/>
          <a:ext cx="1746485" cy="942555"/>
        </a:xfrm>
        <a:prstGeom prst="rect">
          <a:avLst/>
        </a:prstGeom>
      </xdr:spPr>
    </xdr:pic>
    <xdr:clientData/>
  </xdr:twoCellAnchor>
  <xdr:twoCellAnchor editAs="oneCell">
    <xdr:from>
      <xdr:col>1</xdr:col>
      <xdr:colOff>25400</xdr:colOff>
      <xdr:row>52</xdr:row>
      <xdr:rowOff>0</xdr:rowOff>
    </xdr:from>
    <xdr:to>
      <xdr:col>1</xdr:col>
      <xdr:colOff>1882488</xdr:colOff>
      <xdr:row>57</xdr:row>
      <xdr:rowOff>98595</xdr:rowOff>
    </xdr:to>
    <xdr:pic>
      <xdr:nvPicPr>
        <xdr:cNvPr id="29" name="Picture 28">
          <a:hlinkClick xmlns:r="http://schemas.openxmlformats.org/officeDocument/2006/relationships" r:id="rId19"/>
        </xdr:cNvPr>
        <xdr:cNvPicPr>
          <a:picLocks noChangeAspect="1"/>
        </xdr:cNvPicPr>
      </xdr:nvPicPr>
      <xdr:blipFill>
        <a:blip xmlns:r="http://schemas.openxmlformats.org/officeDocument/2006/relationships" r:embed="rId20"/>
        <a:stretch>
          <a:fillRect/>
        </a:stretch>
      </xdr:blipFill>
      <xdr:spPr>
        <a:xfrm>
          <a:off x="57150" y="10782300"/>
          <a:ext cx="1857088" cy="1038395"/>
        </a:xfrm>
        <a:prstGeom prst="rect">
          <a:avLst/>
        </a:prstGeom>
      </xdr:spPr>
    </xdr:pic>
    <xdr:clientData/>
  </xdr:twoCellAnchor>
  <xdr:twoCellAnchor editAs="oneCell">
    <xdr:from>
      <xdr:col>1</xdr:col>
      <xdr:colOff>57150</xdr:colOff>
      <xdr:row>69</xdr:row>
      <xdr:rowOff>25400</xdr:rowOff>
    </xdr:from>
    <xdr:to>
      <xdr:col>1</xdr:col>
      <xdr:colOff>1997680</xdr:colOff>
      <xdr:row>76</xdr:row>
      <xdr:rowOff>121025</xdr:rowOff>
    </xdr:to>
    <xdr:pic>
      <xdr:nvPicPr>
        <xdr:cNvPr id="30" name="Picture 29">
          <a:hlinkClick xmlns:r="http://schemas.openxmlformats.org/officeDocument/2006/relationships" r:id="rId21"/>
        </xdr:cNvPr>
        <xdr:cNvPicPr>
          <a:picLocks noChangeAspect="1"/>
        </xdr:cNvPicPr>
      </xdr:nvPicPr>
      <xdr:blipFill>
        <a:blip xmlns:r="http://schemas.openxmlformats.org/officeDocument/2006/relationships" r:embed="rId22"/>
        <a:stretch>
          <a:fillRect/>
        </a:stretch>
      </xdr:blipFill>
      <xdr:spPr>
        <a:xfrm>
          <a:off x="88900" y="14046200"/>
          <a:ext cx="1959580" cy="1213225"/>
        </a:xfrm>
        <a:prstGeom prst="rect">
          <a:avLst/>
        </a:prstGeom>
      </xdr:spPr>
    </xdr:pic>
    <xdr:clientData/>
  </xdr:twoCellAnchor>
  <xdr:twoCellAnchor editAs="oneCell">
    <xdr:from>
      <xdr:col>1</xdr:col>
      <xdr:colOff>44450</xdr:colOff>
      <xdr:row>95</xdr:row>
      <xdr:rowOff>25400</xdr:rowOff>
    </xdr:from>
    <xdr:to>
      <xdr:col>1</xdr:col>
      <xdr:colOff>1996086</xdr:colOff>
      <xdr:row>100</xdr:row>
      <xdr:rowOff>152399</xdr:rowOff>
    </xdr:to>
    <xdr:pic>
      <xdr:nvPicPr>
        <xdr:cNvPr id="31" name="Picture 30">
          <a:hlinkClick xmlns:r="http://schemas.openxmlformats.org/officeDocument/2006/relationships" r:id="rId23"/>
        </xdr:cNvPr>
        <xdr:cNvPicPr>
          <a:picLocks noChangeAspect="1"/>
        </xdr:cNvPicPr>
      </xdr:nvPicPr>
      <xdr:blipFill>
        <a:blip xmlns:r="http://schemas.openxmlformats.org/officeDocument/2006/relationships" r:embed="rId24"/>
        <a:stretch>
          <a:fillRect/>
        </a:stretch>
      </xdr:blipFill>
      <xdr:spPr>
        <a:xfrm>
          <a:off x="76200" y="18853150"/>
          <a:ext cx="2008786" cy="10794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28575</xdr:colOff>
      <xdr:row>123</xdr:row>
      <xdr:rowOff>76200</xdr:rowOff>
    </xdr:from>
    <xdr:to>
      <xdr:col>12</xdr:col>
      <xdr:colOff>561975</xdr:colOff>
      <xdr:row>149</xdr:row>
      <xdr:rowOff>19050</xdr:rowOff>
    </xdr:to>
    <xdr:sp macro="" textlink="">
      <xdr:nvSpPr>
        <xdr:cNvPr id="2" name="Text Box 17"/>
        <xdr:cNvSpPr txBox="1">
          <a:spLocks noChangeArrowheads="1"/>
        </xdr:cNvSpPr>
      </xdr:nvSpPr>
      <xdr:spPr bwMode="auto">
        <a:xfrm>
          <a:off x="33280350" y="7410450"/>
          <a:ext cx="4972050" cy="43434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Option A</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R1 = </a:t>
          </a:r>
          <a:r>
            <a:rPr lang="en-US" sz="1000" b="0" i="0" u="sng" strike="noStrike" baseline="0">
              <a:solidFill>
                <a:srgbClr val="000000"/>
              </a:solidFill>
              <a:latin typeface="Arial"/>
              <a:cs typeface="Arial"/>
            </a:rPr>
            <a:t> UVLO</a:t>
          </a:r>
          <a:r>
            <a:rPr lang="en-US" sz="800" b="0" i="0" u="sng" strike="noStrike" baseline="0">
              <a:solidFill>
                <a:srgbClr val="000000"/>
              </a:solidFill>
              <a:latin typeface="Arial"/>
              <a:cs typeface="Arial"/>
            </a:rPr>
            <a:t>(upper)</a:t>
          </a:r>
          <a:r>
            <a:rPr lang="en-US" sz="1000" b="0" i="0" u="sng" strike="noStrike" baseline="0">
              <a:solidFill>
                <a:srgbClr val="000000"/>
              </a:solidFill>
              <a:latin typeface="Arial"/>
              <a:cs typeface="Arial"/>
            </a:rPr>
            <a:t> - UVLO</a:t>
          </a:r>
          <a:r>
            <a:rPr lang="en-US" sz="800" b="0" i="0" u="sng" strike="noStrike" baseline="0">
              <a:solidFill>
                <a:srgbClr val="000000"/>
              </a:solidFill>
              <a:latin typeface="Arial"/>
              <a:cs typeface="Arial"/>
            </a:rPr>
            <a:t>(lower)</a:t>
          </a:r>
          <a:r>
            <a:rPr lang="en-US" sz="1000" b="0" i="0" u="sng" strike="noStrike" baseline="0">
              <a:solidFill>
                <a:srgbClr val="000000"/>
              </a:solidFill>
              <a:latin typeface="Arial"/>
              <a:cs typeface="Arial"/>
            </a:rPr>
            <a:t>  </a:t>
          </a:r>
          <a:r>
            <a:rPr lang="en-US" sz="1000" b="0" i="0" u="none" strike="noStrike" baseline="0">
              <a:solidFill>
                <a:srgbClr val="000000"/>
              </a:solidFill>
              <a:latin typeface="Arial"/>
              <a:cs typeface="Arial"/>
            </a:rPr>
            <a:t>         </a:t>
          </a:r>
        </a:p>
        <a:p>
          <a:pPr algn="l" rtl="0">
            <a:defRPr sz="1000"/>
          </a:pPr>
          <a:r>
            <a:rPr lang="en-US" sz="1000" b="0" i="0" u="none" strike="noStrike" baseline="0">
              <a:solidFill>
                <a:srgbClr val="000000"/>
              </a:solidFill>
              <a:latin typeface="Arial"/>
              <a:cs typeface="Arial"/>
            </a:rPr>
            <a:t>                     23 uA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R3 = </a:t>
          </a:r>
          <a:r>
            <a:rPr lang="en-US" sz="1000" b="0" i="0" u="sng" strike="noStrike" baseline="0">
              <a:solidFill>
                <a:srgbClr val="000000"/>
              </a:solidFill>
              <a:latin typeface="Arial"/>
              <a:cs typeface="Arial"/>
            </a:rPr>
            <a:t>         1.16V x R1 x UVLO</a:t>
          </a:r>
          <a:r>
            <a:rPr lang="en-US" sz="800" b="0" i="0" u="sng" strike="noStrike" baseline="0">
              <a:solidFill>
                <a:srgbClr val="000000"/>
              </a:solidFill>
              <a:latin typeface="Arial"/>
              <a:cs typeface="Arial"/>
            </a:rPr>
            <a:t>(lower)</a:t>
          </a:r>
          <a:r>
            <a:rPr lang="en-US" sz="1000" b="0" i="0" u="sng" strike="noStrike" baseline="0">
              <a:solidFill>
                <a:srgbClr val="000000"/>
              </a:solidFill>
              <a:latin typeface="Arial"/>
              <a:cs typeface="Arial"/>
            </a:rPr>
            <a:t>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OVLO</a:t>
          </a:r>
          <a:r>
            <a:rPr lang="en-US" sz="800" b="0" i="0" u="none" strike="noStrike" baseline="0">
              <a:solidFill>
                <a:srgbClr val="000000"/>
              </a:solidFill>
              <a:latin typeface="Arial"/>
              <a:cs typeface="Arial"/>
            </a:rPr>
            <a:t>(upper)</a:t>
          </a:r>
          <a:r>
            <a:rPr lang="en-US" sz="1000" b="0" i="0" u="none" strike="noStrike" baseline="0">
              <a:solidFill>
                <a:srgbClr val="000000"/>
              </a:solidFill>
              <a:latin typeface="Arial"/>
              <a:cs typeface="Arial"/>
            </a:rPr>
            <a:t> x (UVLO</a:t>
          </a:r>
          <a:r>
            <a:rPr lang="en-US" sz="800" b="0" i="0" u="none" strike="noStrike" baseline="0">
              <a:solidFill>
                <a:srgbClr val="000000"/>
              </a:solidFill>
              <a:latin typeface="Arial"/>
              <a:cs typeface="Arial"/>
            </a:rPr>
            <a:t>(lower)</a:t>
          </a:r>
          <a:r>
            <a:rPr lang="en-US" sz="1000" b="0" i="0" u="none" strike="noStrike" baseline="0">
              <a:solidFill>
                <a:srgbClr val="000000"/>
              </a:solidFill>
              <a:latin typeface="Arial"/>
              <a:cs typeface="Arial"/>
            </a:rPr>
            <a:t> - 1.16V)</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R2 =  </a:t>
          </a:r>
          <a:r>
            <a:rPr lang="en-US" sz="1000" b="0" i="0" u="sng" strike="noStrike" baseline="0">
              <a:solidFill>
                <a:srgbClr val="000000"/>
              </a:solidFill>
              <a:latin typeface="Arial"/>
              <a:cs typeface="Arial"/>
            </a:rPr>
            <a:t>       1.16V  x  R1      </a:t>
          </a:r>
          <a:r>
            <a:rPr lang="en-US" sz="1000" b="0" i="0" u="none" strike="noStrike" baseline="0">
              <a:solidFill>
                <a:srgbClr val="000000"/>
              </a:solidFill>
              <a:latin typeface="Arial"/>
              <a:cs typeface="Arial"/>
            </a:rPr>
            <a:t>  -  R3</a:t>
          </a:r>
        </a:p>
        <a:p>
          <a:pPr algn="l" rtl="0">
            <a:defRPr sz="1000"/>
          </a:pPr>
          <a:r>
            <a:rPr lang="en-US" sz="1000" b="0" i="0" u="none" strike="noStrike" baseline="0">
              <a:solidFill>
                <a:srgbClr val="000000"/>
              </a:solidFill>
              <a:latin typeface="Arial"/>
              <a:cs typeface="Arial"/>
            </a:rPr>
            <a:t>          UVLO</a:t>
          </a:r>
          <a:r>
            <a:rPr lang="en-US" sz="800" b="0" i="0" u="none" strike="noStrike" baseline="0">
              <a:solidFill>
                <a:srgbClr val="000000"/>
              </a:solidFill>
              <a:latin typeface="Arial"/>
              <a:cs typeface="Arial"/>
            </a:rPr>
            <a:t>(lower)</a:t>
          </a:r>
          <a:r>
            <a:rPr lang="en-US" sz="1000" b="0" i="0" u="none" strike="noStrike" baseline="0">
              <a:solidFill>
                <a:srgbClr val="000000"/>
              </a:solidFill>
              <a:latin typeface="Arial"/>
              <a:cs typeface="Arial"/>
            </a:rPr>
            <a:t> - 1.16V</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UVLO</a:t>
          </a:r>
          <a:r>
            <a:rPr lang="en-US" sz="800" b="0" i="0" u="none" strike="noStrike" baseline="0">
              <a:solidFill>
                <a:srgbClr val="000000"/>
              </a:solidFill>
              <a:latin typeface="Arial"/>
              <a:cs typeface="Arial"/>
            </a:rPr>
            <a:t>(upper)</a:t>
          </a:r>
          <a:r>
            <a:rPr lang="en-US" sz="1000" b="0" i="0" u="none" strike="noStrike" baseline="0">
              <a:solidFill>
                <a:srgbClr val="000000"/>
              </a:solidFill>
              <a:latin typeface="Arial"/>
              <a:cs typeface="Arial"/>
            </a:rPr>
            <a:t> = 1.16V + (R1 x  </a:t>
          </a:r>
          <a:r>
            <a:rPr lang="en-US" sz="1000" b="0" i="0" u="sng" strike="noStrike" baseline="0">
              <a:solidFill>
                <a:srgbClr val="000000"/>
              </a:solidFill>
              <a:latin typeface="Arial"/>
              <a:cs typeface="Arial"/>
            </a:rPr>
            <a:t>( 1.16V     </a:t>
          </a:r>
          <a:r>
            <a:rPr lang="en-US" sz="1000" b="0" i="0" u="none" strike="noStrike" baseline="0">
              <a:solidFill>
                <a:srgbClr val="000000"/>
              </a:solidFill>
              <a:latin typeface="Arial"/>
              <a:cs typeface="Arial"/>
            </a:rPr>
            <a:t> +  23uA)</a:t>
          </a:r>
        </a:p>
        <a:p>
          <a:pPr algn="l" rtl="0">
            <a:defRPr sz="1000"/>
          </a:pPr>
          <a:r>
            <a:rPr lang="en-US" sz="1000" b="0" i="0" u="none" strike="noStrike" baseline="0">
              <a:solidFill>
                <a:srgbClr val="000000"/>
              </a:solidFill>
              <a:latin typeface="Arial"/>
              <a:cs typeface="Arial"/>
            </a:rPr>
            <a:t>                                                           (R2 + R3)</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UVLO</a:t>
          </a:r>
          <a:r>
            <a:rPr lang="en-US" sz="800" b="0" i="0" u="none" strike="noStrike" baseline="0">
              <a:solidFill>
                <a:srgbClr val="000000"/>
              </a:solidFill>
              <a:latin typeface="Arial"/>
              <a:cs typeface="Arial"/>
            </a:rPr>
            <a:t>(lower)</a:t>
          </a:r>
          <a:r>
            <a:rPr lang="en-US" sz="1000" b="0" i="0" u="none" strike="noStrike" baseline="0">
              <a:solidFill>
                <a:srgbClr val="000000"/>
              </a:solidFill>
              <a:latin typeface="Arial"/>
              <a:cs typeface="Arial"/>
            </a:rPr>
            <a:t> = 1.16V x </a:t>
          </a:r>
          <a:r>
            <a:rPr lang="en-US" sz="1000" b="0" i="0" u="sng" strike="noStrike" baseline="0">
              <a:solidFill>
                <a:srgbClr val="000000"/>
              </a:solidFill>
              <a:latin typeface="Arial"/>
              <a:cs typeface="Arial"/>
            </a:rPr>
            <a:t> (R1 + R2 + R3)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(R2 + R3)</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OVLO</a:t>
          </a:r>
          <a:r>
            <a:rPr lang="en-US" sz="800" b="0" i="0" u="none" strike="noStrike" baseline="0">
              <a:solidFill>
                <a:srgbClr val="000000"/>
              </a:solidFill>
              <a:latin typeface="Arial"/>
              <a:cs typeface="Arial"/>
            </a:rPr>
            <a:t>(upper)</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1.16V x (R1 + R2 + R3)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R3</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OVLO</a:t>
          </a:r>
          <a:r>
            <a:rPr lang="en-US" sz="800" b="0" i="0" u="none" strike="noStrike" baseline="0">
              <a:solidFill>
                <a:srgbClr val="000000"/>
              </a:solidFill>
              <a:latin typeface="Arial"/>
              <a:cs typeface="Arial"/>
            </a:rPr>
            <a:t>(lower)</a:t>
          </a:r>
          <a:r>
            <a:rPr lang="en-US" sz="1000" b="0" i="0" u="none" strike="noStrike" baseline="0">
              <a:solidFill>
                <a:srgbClr val="000000"/>
              </a:solidFill>
              <a:latin typeface="Arial"/>
              <a:cs typeface="Arial"/>
            </a:rPr>
            <a:t> = ((R1 + R2) x ((</a:t>
          </a:r>
          <a:r>
            <a:rPr lang="en-US" sz="1000" b="0" i="0" u="sng" strike="noStrike" baseline="0">
              <a:solidFill>
                <a:srgbClr val="000000"/>
              </a:solidFill>
              <a:latin typeface="Arial"/>
              <a:cs typeface="Arial"/>
            </a:rPr>
            <a:t> 1.16V)</a:t>
          </a:r>
          <a:r>
            <a:rPr lang="en-US" sz="1000" b="0" i="0" u="none" strike="noStrike" baseline="0">
              <a:solidFill>
                <a:srgbClr val="000000"/>
              </a:solidFill>
              <a:latin typeface="Arial"/>
              <a:cs typeface="Arial"/>
            </a:rPr>
            <a:t>  -  23uA)) + 1.16V</a:t>
          </a:r>
        </a:p>
        <a:p>
          <a:pPr algn="l" rtl="0">
            <a:defRPr sz="1000"/>
          </a:pPr>
          <a:r>
            <a:rPr lang="en-US" sz="1000" b="0" i="0" u="none" strike="noStrike" baseline="0">
              <a:solidFill>
                <a:srgbClr val="000000"/>
              </a:solidFill>
              <a:latin typeface="Arial"/>
              <a:cs typeface="Arial"/>
            </a:rPr>
            <a:t>                                                            R3</a:t>
          </a:r>
        </a:p>
        <a:p>
          <a:pPr algn="l" rtl="0">
            <a:defRPr sz="1000"/>
          </a:pPr>
          <a:endParaRPr lang="en-US" sz="1000" b="0" i="0" u="none" strike="noStrike" baseline="0">
            <a:solidFill>
              <a:srgbClr val="000000"/>
            </a:solidFill>
            <a:latin typeface="Arial"/>
            <a:cs typeface="Arial"/>
          </a:endParaRPr>
        </a:p>
      </xdr:txBody>
    </xdr:sp>
    <xdr:clientData/>
  </xdr:twoCellAnchor>
  <xdr:twoCellAnchor>
    <xdr:from>
      <xdr:col>6</xdr:col>
      <xdr:colOff>38100</xdr:colOff>
      <xdr:row>174</xdr:row>
      <xdr:rowOff>133350</xdr:rowOff>
    </xdr:from>
    <xdr:to>
      <xdr:col>9</xdr:col>
      <xdr:colOff>276225</xdr:colOff>
      <xdr:row>185</xdr:row>
      <xdr:rowOff>142875</xdr:rowOff>
    </xdr:to>
    <xdr:sp macro="" textlink="">
      <xdr:nvSpPr>
        <xdr:cNvPr id="3" name="Text Box 98"/>
        <xdr:cNvSpPr txBox="1">
          <a:spLocks noChangeArrowheads="1"/>
        </xdr:cNvSpPr>
      </xdr:nvSpPr>
      <xdr:spPr bwMode="auto">
        <a:xfrm>
          <a:off x="32308800" y="16125825"/>
          <a:ext cx="2838450" cy="17907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Rpwr = 1.71 x 10</a:t>
          </a:r>
          <a:r>
            <a:rPr lang="en-US" sz="1000" b="0" i="0" u="none" strike="noStrike" baseline="30000">
              <a:solidFill>
                <a:srgbClr val="000000"/>
              </a:solidFill>
              <a:latin typeface="Arial"/>
              <a:cs typeface="Arial"/>
            </a:rPr>
            <a:t>5</a:t>
          </a:r>
          <a:r>
            <a:rPr lang="en-US" sz="1000" b="0" i="0" u="none" strike="noStrike" baseline="0">
              <a:solidFill>
                <a:srgbClr val="000000"/>
              </a:solidFill>
              <a:latin typeface="Arial"/>
              <a:cs typeface="Arial"/>
            </a:rPr>
            <a:t> x Rs x P</a:t>
          </a:r>
          <a:r>
            <a:rPr lang="en-US" sz="1000" b="0" i="0" u="none" strike="noStrike" baseline="-25000">
              <a:solidFill>
                <a:srgbClr val="000000"/>
              </a:solidFill>
              <a:latin typeface="Arial"/>
              <a:cs typeface="Arial"/>
            </a:rPr>
            <a:t>FET</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P</a:t>
          </a:r>
          <a:r>
            <a:rPr lang="en-US" sz="1000" b="0" i="0" u="none" strike="noStrike" baseline="-25000">
              <a:solidFill>
                <a:srgbClr val="000000"/>
              </a:solidFill>
              <a:latin typeface="Arial"/>
              <a:cs typeface="Arial"/>
            </a:rPr>
            <a:t>FET(min)</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4.44 x 10</a:t>
          </a:r>
          <a:r>
            <a:rPr lang="en-US" sz="1000" b="0" i="0" u="sng" strike="noStrike" baseline="30000">
              <a:solidFill>
                <a:srgbClr val="000000"/>
              </a:solidFill>
              <a:latin typeface="Arial"/>
              <a:cs typeface="Arial"/>
            </a:rPr>
            <a:t>-6</a:t>
          </a:r>
          <a:r>
            <a:rPr lang="en-US" sz="1000" b="0" i="0" u="sng" strike="noStrike" baseline="0">
              <a:solidFill>
                <a:srgbClr val="000000"/>
              </a:solidFill>
              <a:latin typeface="Arial"/>
              <a:cs typeface="Arial"/>
            </a:rPr>
            <a:t> x Rpwr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P</a:t>
          </a:r>
          <a:r>
            <a:rPr lang="en-US" sz="1000" b="0" i="0" u="none" strike="noStrike" baseline="-25000">
              <a:solidFill>
                <a:srgbClr val="000000"/>
              </a:solidFill>
              <a:latin typeface="Arial"/>
              <a:cs typeface="Arial"/>
            </a:rPr>
            <a:t>FET(typ)</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5.85 x 10</a:t>
          </a:r>
          <a:r>
            <a:rPr lang="en-US" sz="1000" b="0" i="0" u="sng" strike="noStrike" baseline="30000">
              <a:solidFill>
                <a:srgbClr val="000000"/>
              </a:solidFill>
              <a:latin typeface="Arial"/>
              <a:cs typeface="Arial"/>
            </a:rPr>
            <a:t>-6</a:t>
          </a:r>
          <a:r>
            <a:rPr lang="en-US" sz="1000" b="0" i="0" u="sng" strike="noStrike" baseline="0">
              <a:solidFill>
                <a:srgbClr val="000000"/>
              </a:solidFill>
              <a:latin typeface="Arial"/>
              <a:cs typeface="Arial"/>
            </a:rPr>
            <a:t> x Rpwr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P</a:t>
          </a:r>
          <a:r>
            <a:rPr lang="en-US" sz="1000" b="0" i="0" u="none" strike="noStrike" baseline="-25000">
              <a:solidFill>
                <a:srgbClr val="000000"/>
              </a:solidFill>
              <a:latin typeface="Arial"/>
              <a:cs typeface="Arial"/>
            </a:rPr>
            <a:t>FET(max)</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7.25 x 10</a:t>
          </a:r>
          <a:r>
            <a:rPr lang="en-US" sz="1000" b="0" i="0" u="sng" strike="noStrike" baseline="30000">
              <a:solidFill>
                <a:srgbClr val="000000"/>
              </a:solidFill>
              <a:latin typeface="Arial"/>
              <a:cs typeface="Arial"/>
            </a:rPr>
            <a:t>-6</a:t>
          </a:r>
          <a:r>
            <a:rPr lang="en-US" sz="1000" b="0" i="0" u="sng" strike="noStrike" baseline="0">
              <a:solidFill>
                <a:srgbClr val="000000"/>
              </a:solidFill>
              <a:latin typeface="Arial"/>
              <a:cs typeface="Arial"/>
            </a:rPr>
            <a:t> x Rpwr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563880</xdr:colOff>
      <xdr:row>26</xdr:row>
      <xdr:rowOff>87630</xdr:rowOff>
    </xdr:from>
    <xdr:to>
      <xdr:col>28</xdr:col>
      <xdr:colOff>388620</xdr:colOff>
      <xdr:row>46</xdr:row>
      <xdr:rowOff>137160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ps08.itg.ti.com/Users/a0872642/Desktop/Excell%20Tools/TPS24720_design_calc_1_14_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ps08.itg.ti.com/Users/a0872642/Desktop/Excell%20Tools/TPS24720_design_calc_1_14_14_7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LIM_SOA_considerations"/>
      <sheetName val="Worksheet"/>
      <sheetName val="SOA"/>
      <sheetName val="Device Parmaters"/>
    </sheetNames>
    <sheetDataSet>
      <sheetData sheetId="0"/>
      <sheetData sheetId="1">
        <row r="9">
          <cell r="C9">
            <v>0.5</v>
          </cell>
        </row>
        <row r="15">
          <cell r="C15">
            <v>50</v>
          </cell>
        </row>
        <row r="23">
          <cell r="C23">
            <v>12.6</v>
          </cell>
        </row>
        <row r="25">
          <cell r="C25">
            <v>42</v>
          </cell>
        </row>
        <row r="30">
          <cell r="C30">
            <v>1</v>
          </cell>
        </row>
        <row r="40">
          <cell r="C40">
            <v>45</v>
          </cell>
        </row>
        <row r="45">
          <cell r="C45">
            <v>13.214879379662346</v>
          </cell>
        </row>
        <row r="46">
          <cell r="C46">
            <v>1.2333333333333334</v>
          </cell>
        </row>
        <row r="47">
          <cell r="C47">
            <v>14.44821271299568</v>
          </cell>
        </row>
        <row r="52">
          <cell r="C52">
            <v>61.344890223835883</v>
          </cell>
        </row>
        <row r="61">
          <cell r="C61">
            <v>1650</v>
          </cell>
        </row>
        <row r="67">
          <cell r="C67">
            <v>2.2000000000000001E-7</v>
          </cell>
        </row>
      </sheetData>
      <sheetData sheetId="2"/>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LIM_SOA_considerations"/>
      <sheetName val="Worksheet"/>
      <sheetName val="SOA"/>
    </sheetNames>
    <sheetDataSet>
      <sheetData sheetId="0"/>
      <sheetData sheetId="1">
        <row r="9">
          <cell r="C9">
            <v>0.5</v>
          </cell>
        </row>
        <row r="15">
          <cell r="C15">
            <v>50</v>
          </cell>
        </row>
        <row r="23">
          <cell r="C23">
            <v>12.6</v>
          </cell>
        </row>
        <row r="25">
          <cell r="C25">
            <v>42</v>
          </cell>
        </row>
        <row r="30">
          <cell r="C30">
            <v>1</v>
          </cell>
        </row>
        <row r="40">
          <cell r="C40">
            <v>45</v>
          </cell>
        </row>
        <row r="45">
          <cell r="C45">
            <v>13.214879379662346</v>
          </cell>
        </row>
        <row r="46">
          <cell r="C46">
            <v>0.74</v>
          </cell>
        </row>
        <row r="47">
          <cell r="C47">
            <v>13.954879379662346</v>
          </cell>
        </row>
        <row r="52">
          <cell r="C52">
            <v>62.580553546791855</v>
          </cell>
        </row>
        <row r="61">
          <cell r="C61">
            <v>1650</v>
          </cell>
        </row>
        <row r="67">
          <cell r="C67">
            <v>2.2000000000000001E-7</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ti.com/lit/pdf/slva673" TargetMode="External"/><Relationship Id="rId1" Type="http://schemas.openxmlformats.org/officeDocument/2006/relationships/hyperlink" Target="http://www.ti.com/lit/gpn/lm25066"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www.ti.com/general/docs/video/watch.tsp?entryid=4609733745001" TargetMode="External"/><Relationship Id="rId13" Type="http://schemas.openxmlformats.org/officeDocument/2006/relationships/hyperlink" Target="https://training.ti.com/node/1133677" TargetMode="External"/><Relationship Id="rId18" Type="http://schemas.openxmlformats.org/officeDocument/2006/relationships/drawing" Target="../drawings/drawing2.xml"/><Relationship Id="rId3" Type="http://schemas.openxmlformats.org/officeDocument/2006/relationships/hyperlink" Target="https://training.ti.com/node/1133677" TargetMode="External"/><Relationship Id="rId7" Type="http://schemas.openxmlformats.org/officeDocument/2006/relationships/hyperlink" Target="https://training.ti.com/node/1133681" TargetMode="External"/><Relationship Id="rId12" Type="http://schemas.openxmlformats.org/officeDocument/2006/relationships/hyperlink" Target="http://www.ti.com/product/LM25066" TargetMode="External"/><Relationship Id="rId17" Type="http://schemas.openxmlformats.org/officeDocument/2006/relationships/printerSettings" Target="../printerSettings/printerSettings1.bin"/><Relationship Id="rId2" Type="http://schemas.openxmlformats.org/officeDocument/2006/relationships/hyperlink" Target="http://e2e.ti.com/" TargetMode="External"/><Relationship Id="rId16" Type="http://schemas.openxmlformats.org/officeDocument/2006/relationships/hyperlink" Target="https://training.ti.com/node/1133681" TargetMode="External"/><Relationship Id="rId20" Type="http://schemas.openxmlformats.org/officeDocument/2006/relationships/comments" Target="../comments1.xml"/><Relationship Id="rId1" Type="http://schemas.openxmlformats.org/officeDocument/2006/relationships/hyperlink" Target="http://www.ti.com/hotswap" TargetMode="External"/><Relationship Id="rId6" Type="http://schemas.openxmlformats.org/officeDocument/2006/relationships/hyperlink" Target="https://training.ti.com/node/1133664" TargetMode="External"/><Relationship Id="rId11" Type="http://schemas.openxmlformats.org/officeDocument/2006/relationships/hyperlink" Target="http://www.ti.com/general/docs/video/watch.tsp?entryid=4607940999001" TargetMode="External"/><Relationship Id="rId5" Type="http://schemas.openxmlformats.org/officeDocument/2006/relationships/hyperlink" Target="https://training.ti.com/node/1133673" TargetMode="External"/><Relationship Id="rId15" Type="http://schemas.openxmlformats.org/officeDocument/2006/relationships/hyperlink" Target="https://training.ti.com/node/1133664" TargetMode="External"/><Relationship Id="rId10" Type="http://schemas.openxmlformats.org/officeDocument/2006/relationships/hyperlink" Target="http://www.ti.com/general/docs/video/watch.tsp?entryid=4609077027001" TargetMode="External"/><Relationship Id="rId19" Type="http://schemas.openxmlformats.org/officeDocument/2006/relationships/vmlDrawing" Target="../drawings/vmlDrawing1.vml"/><Relationship Id="rId4" Type="http://schemas.openxmlformats.org/officeDocument/2006/relationships/hyperlink" Target="https://training.ti.com/node/1133677" TargetMode="External"/><Relationship Id="rId9" Type="http://schemas.openxmlformats.org/officeDocument/2006/relationships/hyperlink" Target="http://www.ti.com/general/docs/video/watch.tsp?entryid=4609077122001" TargetMode="External"/><Relationship Id="rId14" Type="http://schemas.openxmlformats.org/officeDocument/2006/relationships/hyperlink" Target="https://training.ti.com/node/1133673"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P97"/>
  <sheetViews>
    <sheetView topLeftCell="A70" workbookViewId="0"/>
  </sheetViews>
  <sheetFormatPr baseColWidth="10" defaultColWidth="9.140625" defaultRowHeight="12.75" x14ac:dyDescent="0.2"/>
  <sheetData>
    <row r="1" spans="1:16" ht="13.5" thickTop="1" x14ac:dyDescent="0.2">
      <c r="A1" s="219"/>
      <c r="B1" s="220"/>
      <c r="C1" s="220"/>
      <c r="D1" s="220"/>
      <c r="E1" s="220"/>
      <c r="F1" s="220"/>
      <c r="G1" s="220"/>
      <c r="H1" s="220"/>
      <c r="I1" s="220"/>
      <c r="J1" s="220"/>
      <c r="K1" s="220"/>
      <c r="L1" s="220"/>
      <c r="M1" s="220"/>
      <c r="N1" s="220"/>
      <c r="O1" s="220"/>
      <c r="P1" s="221"/>
    </row>
    <row r="2" spans="1:16" x14ac:dyDescent="0.2">
      <c r="A2" s="222"/>
      <c r="B2" s="223"/>
      <c r="C2" s="223"/>
      <c r="D2" s="223"/>
      <c r="E2" s="223"/>
      <c r="F2" s="223"/>
      <c r="G2" s="223"/>
      <c r="H2" s="223"/>
      <c r="I2" s="223"/>
      <c r="J2" s="223"/>
      <c r="K2" s="223"/>
      <c r="L2" s="223"/>
      <c r="M2" s="223"/>
      <c r="N2" s="223"/>
      <c r="O2" s="223"/>
      <c r="P2" s="224"/>
    </row>
    <row r="3" spans="1:16" ht="30" x14ac:dyDescent="0.4">
      <c r="A3" s="222"/>
      <c r="B3" s="223"/>
      <c r="C3" s="223"/>
      <c r="D3" s="225"/>
      <c r="E3" s="223"/>
      <c r="F3" s="223"/>
      <c r="G3" s="223"/>
      <c r="H3" s="223"/>
      <c r="I3" s="223"/>
      <c r="J3" s="223"/>
      <c r="K3" s="223"/>
      <c r="L3" s="226"/>
      <c r="M3" s="223"/>
      <c r="N3" s="223"/>
      <c r="O3" s="223"/>
      <c r="P3" s="224"/>
    </row>
    <row r="4" spans="1:16" ht="23.25" x14ac:dyDescent="0.35">
      <c r="A4" s="222"/>
      <c r="B4" s="223"/>
      <c r="C4" s="223"/>
      <c r="D4" s="227"/>
      <c r="E4" s="223"/>
      <c r="F4" s="223"/>
      <c r="G4" s="223"/>
      <c r="H4" s="223"/>
      <c r="I4" s="223"/>
      <c r="J4" s="223"/>
      <c r="K4" s="223"/>
      <c r="L4" s="223"/>
      <c r="M4" s="223"/>
      <c r="N4" s="223"/>
      <c r="O4" s="223"/>
      <c r="P4" s="224"/>
    </row>
    <row r="5" spans="1:16" x14ac:dyDescent="0.2">
      <c r="A5" s="222"/>
      <c r="B5" s="223"/>
      <c r="C5" s="223"/>
      <c r="D5" s="223"/>
      <c r="E5" s="223"/>
      <c r="F5" s="223"/>
      <c r="G5" s="223"/>
      <c r="H5" s="223"/>
      <c r="I5" s="223"/>
      <c r="J5" s="223"/>
      <c r="K5" s="223"/>
      <c r="L5" s="223"/>
      <c r="M5" s="223"/>
      <c r="N5" s="223"/>
      <c r="O5" s="223"/>
      <c r="P5" s="224"/>
    </row>
    <row r="6" spans="1:16" x14ac:dyDescent="0.2">
      <c r="A6" s="222"/>
      <c r="B6" s="223"/>
      <c r="C6" s="223"/>
      <c r="D6" s="223"/>
      <c r="E6" s="223"/>
      <c r="F6" s="223"/>
      <c r="G6" s="223"/>
      <c r="H6" s="223"/>
      <c r="I6" s="223"/>
      <c r="J6" s="223"/>
      <c r="K6" s="223"/>
      <c r="L6" s="223"/>
      <c r="M6" s="223"/>
      <c r="N6" s="223"/>
      <c r="O6" s="223"/>
      <c r="P6" s="224"/>
    </row>
    <row r="7" spans="1:16" ht="15.75" x14ac:dyDescent="0.25">
      <c r="A7" s="222"/>
      <c r="B7" s="223"/>
      <c r="C7" s="223"/>
      <c r="D7" s="223"/>
      <c r="E7" s="223"/>
      <c r="F7" s="223"/>
      <c r="G7" s="223"/>
      <c r="H7" s="223"/>
      <c r="I7" s="223"/>
      <c r="J7" s="223"/>
      <c r="K7" s="223"/>
      <c r="L7" s="223"/>
      <c r="M7" s="226" t="s">
        <v>500</v>
      </c>
      <c r="N7" s="223"/>
      <c r="O7" s="223"/>
      <c r="P7" s="224"/>
    </row>
    <row r="8" spans="1:16" ht="30" x14ac:dyDescent="0.4">
      <c r="A8" s="222"/>
      <c r="B8" s="225" t="s">
        <v>521</v>
      </c>
      <c r="C8" s="223"/>
      <c r="D8" s="223"/>
      <c r="E8" s="223"/>
      <c r="F8" s="223"/>
      <c r="G8" s="223"/>
      <c r="H8" s="223"/>
      <c r="I8" s="223"/>
      <c r="J8" s="223"/>
      <c r="K8" s="223"/>
      <c r="L8" s="223"/>
      <c r="M8" s="223"/>
      <c r="N8" s="223"/>
      <c r="O8" s="223"/>
      <c r="P8" s="224"/>
    </row>
    <row r="9" spans="1:16" x14ac:dyDescent="0.2">
      <c r="A9" s="222"/>
      <c r="B9" s="223"/>
      <c r="C9" s="223"/>
      <c r="D9" s="223"/>
      <c r="E9" s="223"/>
      <c r="F9" s="223"/>
      <c r="G9" s="223"/>
      <c r="H9" s="223"/>
      <c r="I9" s="223"/>
      <c r="J9" s="223"/>
      <c r="K9" s="223"/>
      <c r="L9" s="223"/>
      <c r="M9" s="223"/>
      <c r="N9" s="223"/>
      <c r="O9" s="223"/>
      <c r="P9" s="224"/>
    </row>
    <row r="10" spans="1:16" ht="20.25" x14ac:dyDescent="0.3">
      <c r="A10" s="222"/>
      <c r="B10" s="228" t="s">
        <v>462</v>
      </c>
      <c r="C10" s="229"/>
      <c r="D10" s="229"/>
      <c r="E10" s="229"/>
      <c r="F10" s="223"/>
      <c r="G10" s="223"/>
      <c r="H10" s="223"/>
      <c r="I10" s="223"/>
      <c r="J10" s="223"/>
      <c r="K10" s="223"/>
      <c r="L10" s="223"/>
      <c r="M10" s="223"/>
      <c r="N10" s="223"/>
      <c r="O10" s="223"/>
      <c r="P10" s="224"/>
    </row>
    <row r="11" spans="1:16" ht="14.25" x14ac:dyDescent="0.2">
      <c r="A11" s="222"/>
      <c r="B11" s="230" t="s">
        <v>463</v>
      </c>
      <c r="C11" s="231"/>
      <c r="D11" s="231"/>
      <c r="E11" s="231"/>
      <c r="F11" s="223"/>
      <c r="G11" s="223"/>
      <c r="H11" s="223"/>
      <c r="I11" s="223"/>
      <c r="J11" s="223"/>
      <c r="K11" s="223"/>
      <c r="L11" s="223"/>
      <c r="M11" s="223"/>
      <c r="N11" s="223"/>
      <c r="O11" s="223"/>
      <c r="P11" s="224"/>
    </row>
    <row r="12" spans="1:16" ht="14.25" x14ac:dyDescent="0.2">
      <c r="A12" s="222"/>
      <c r="B12" s="230" t="s">
        <v>464</v>
      </c>
      <c r="C12" s="231"/>
      <c r="D12" s="231"/>
      <c r="E12" s="231"/>
      <c r="F12" s="223"/>
      <c r="G12" s="223"/>
      <c r="H12" s="223"/>
      <c r="I12" s="223"/>
      <c r="J12" s="223"/>
      <c r="K12" s="223"/>
      <c r="L12" s="223"/>
      <c r="M12" s="223"/>
      <c r="N12" s="223"/>
      <c r="O12" s="223"/>
      <c r="P12" s="224"/>
    </row>
    <row r="13" spans="1:16" ht="14.25" x14ac:dyDescent="0.2">
      <c r="A13" s="222"/>
      <c r="B13" s="230"/>
      <c r="C13" s="231"/>
      <c r="D13" s="231"/>
      <c r="E13" s="231"/>
      <c r="F13" s="223"/>
      <c r="G13" s="223"/>
      <c r="H13" s="223"/>
      <c r="I13" s="223"/>
      <c r="J13" s="223"/>
      <c r="K13" s="223"/>
      <c r="L13" s="223"/>
      <c r="M13" s="223"/>
      <c r="N13" s="223"/>
      <c r="O13" s="223"/>
      <c r="P13" s="224"/>
    </row>
    <row r="14" spans="1:16" x14ac:dyDescent="0.2">
      <c r="A14" s="222"/>
      <c r="B14" s="350" t="s">
        <v>499</v>
      </c>
      <c r="C14" s="350"/>
      <c r="D14" s="350"/>
      <c r="E14" s="229"/>
      <c r="F14" s="223"/>
      <c r="G14" s="223"/>
      <c r="H14" s="223"/>
      <c r="I14" s="223"/>
      <c r="J14" s="223"/>
      <c r="K14" s="223"/>
      <c r="L14" s="223"/>
      <c r="M14" s="223"/>
      <c r="N14" s="223"/>
      <c r="O14" s="223"/>
      <c r="P14" s="224"/>
    </row>
    <row r="15" spans="1:16" x14ac:dyDescent="0.2">
      <c r="A15" s="222"/>
      <c r="B15" s="340" t="s">
        <v>478</v>
      </c>
      <c r="C15" s="340"/>
      <c r="D15" s="340"/>
      <c r="E15" s="340"/>
      <c r="F15" s="340"/>
      <c r="G15" s="340"/>
      <c r="H15" s="340"/>
      <c r="I15" s="340"/>
      <c r="J15" s="223"/>
      <c r="K15" s="223"/>
      <c r="L15" s="223"/>
      <c r="M15" s="223"/>
      <c r="N15" s="223"/>
      <c r="O15" s="223"/>
      <c r="P15" s="224"/>
    </row>
    <row r="16" spans="1:16" x14ac:dyDescent="0.2">
      <c r="A16" s="222"/>
      <c r="B16" s="229"/>
      <c r="C16" s="229"/>
      <c r="D16" s="229"/>
      <c r="E16" s="229"/>
      <c r="F16" s="223"/>
      <c r="G16" s="223"/>
      <c r="H16" s="223"/>
      <c r="I16" s="223"/>
      <c r="J16" s="223"/>
      <c r="K16" s="223"/>
      <c r="L16" s="223"/>
      <c r="M16" s="223"/>
      <c r="N16" s="223"/>
      <c r="O16" s="223"/>
      <c r="P16" s="224"/>
    </row>
    <row r="17" spans="1:16" x14ac:dyDescent="0.2">
      <c r="A17" s="222"/>
      <c r="B17" s="232" t="s">
        <v>465</v>
      </c>
      <c r="C17" s="229"/>
      <c r="D17" s="229"/>
      <c r="E17" s="229"/>
      <c r="F17" s="223"/>
      <c r="G17" s="223"/>
      <c r="H17" s="223"/>
      <c r="I17" s="223"/>
      <c r="J17" s="223"/>
      <c r="K17" s="223"/>
      <c r="L17" s="223"/>
      <c r="M17" s="223"/>
      <c r="N17" s="223"/>
      <c r="O17" s="223"/>
      <c r="P17" s="224"/>
    </row>
    <row r="18" spans="1:16" x14ac:dyDescent="0.2">
      <c r="A18" s="222"/>
      <c r="B18" s="233" t="s">
        <v>466</v>
      </c>
      <c r="C18" s="229"/>
      <c r="D18" s="229"/>
      <c r="E18" s="229"/>
      <c r="F18" s="223"/>
      <c r="G18" s="223"/>
      <c r="H18" s="223"/>
      <c r="I18" s="223"/>
      <c r="J18" s="223"/>
      <c r="K18" s="223"/>
      <c r="L18" s="223"/>
      <c r="M18" s="223"/>
      <c r="N18" s="223"/>
      <c r="O18" s="223"/>
      <c r="P18" s="224"/>
    </row>
    <row r="19" spans="1:16" x14ac:dyDescent="0.2">
      <c r="A19" s="222"/>
      <c r="B19" s="233" t="s">
        <v>467</v>
      </c>
      <c r="C19" s="229"/>
      <c r="D19" s="229"/>
      <c r="E19" s="229"/>
      <c r="F19" s="223"/>
      <c r="G19" s="223"/>
      <c r="H19" s="223"/>
      <c r="I19" s="223"/>
      <c r="J19" s="223"/>
      <c r="K19" s="223"/>
      <c r="L19" s="223"/>
      <c r="M19" s="223"/>
      <c r="N19" s="223"/>
      <c r="O19" s="223"/>
      <c r="P19" s="224"/>
    </row>
    <row r="20" spans="1:16" x14ac:dyDescent="0.2">
      <c r="A20" s="222"/>
      <c r="B20" s="233" t="s">
        <v>468</v>
      </c>
      <c r="C20" s="229"/>
      <c r="D20" s="229"/>
      <c r="E20" s="229"/>
      <c r="F20" s="223"/>
      <c r="G20" s="223"/>
      <c r="H20" s="223"/>
      <c r="I20" s="223"/>
      <c r="J20" s="223"/>
      <c r="K20" s="223"/>
      <c r="L20" s="223"/>
      <c r="M20" s="223"/>
      <c r="N20" s="223"/>
      <c r="O20" s="223"/>
      <c r="P20" s="224"/>
    </row>
    <row r="21" spans="1:16" x14ac:dyDescent="0.2">
      <c r="A21" s="222"/>
      <c r="B21" s="233" t="s">
        <v>469</v>
      </c>
      <c r="C21" s="229"/>
      <c r="D21" s="229"/>
      <c r="E21" s="229"/>
      <c r="F21" s="223"/>
      <c r="G21" s="223"/>
      <c r="H21" s="223"/>
      <c r="I21" s="223"/>
      <c r="J21" s="223"/>
      <c r="K21" s="223"/>
      <c r="L21" s="223"/>
      <c r="M21" s="223"/>
      <c r="N21" s="223"/>
      <c r="O21" s="223"/>
      <c r="P21" s="224"/>
    </row>
    <row r="22" spans="1:16" x14ac:dyDescent="0.2">
      <c r="A22" s="222"/>
      <c r="B22" s="233" t="s">
        <v>470</v>
      </c>
      <c r="C22" s="229"/>
      <c r="D22" s="229"/>
      <c r="E22" s="229"/>
      <c r="F22" s="223"/>
      <c r="G22" s="223"/>
      <c r="H22" s="223"/>
      <c r="I22" s="223"/>
      <c r="J22" s="223"/>
      <c r="K22" s="223"/>
      <c r="L22" s="223"/>
      <c r="M22" s="223"/>
      <c r="N22" s="223"/>
      <c r="O22" s="223"/>
      <c r="P22" s="224"/>
    </row>
    <row r="23" spans="1:16" x14ac:dyDescent="0.2">
      <c r="A23" s="222"/>
      <c r="B23" s="233" t="s">
        <v>471</v>
      </c>
      <c r="C23" s="229"/>
      <c r="D23" s="229"/>
      <c r="E23" s="229"/>
      <c r="F23" s="223"/>
      <c r="G23" s="223"/>
      <c r="H23" s="223"/>
      <c r="I23" s="223"/>
      <c r="J23" s="223"/>
      <c r="K23" s="223"/>
      <c r="L23" s="223"/>
      <c r="M23" s="223"/>
      <c r="N23" s="223"/>
      <c r="O23" s="223"/>
      <c r="P23" s="224"/>
    </row>
    <row r="24" spans="1:16" x14ac:dyDescent="0.2">
      <c r="A24" s="222"/>
      <c r="B24" s="233" t="s">
        <v>472</v>
      </c>
      <c r="C24" s="229"/>
      <c r="D24" s="229"/>
      <c r="E24" s="229"/>
      <c r="F24" s="223"/>
      <c r="G24" s="223"/>
      <c r="H24" s="223"/>
      <c r="I24" s="223"/>
      <c r="J24" s="223"/>
      <c r="K24" s="223"/>
      <c r="L24" s="223"/>
      <c r="M24" s="223"/>
      <c r="N24" s="223"/>
      <c r="O24" s="223"/>
      <c r="P24" s="224"/>
    </row>
    <row r="25" spans="1:16" x14ac:dyDescent="0.2">
      <c r="A25" s="222"/>
      <c r="B25" s="233"/>
      <c r="C25" s="229"/>
      <c r="D25" s="229"/>
      <c r="E25" s="229"/>
      <c r="F25" s="223"/>
      <c r="G25" s="223"/>
      <c r="H25" s="223"/>
      <c r="I25" s="223"/>
      <c r="J25" s="223"/>
      <c r="K25" s="223"/>
      <c r="L25" s="223"/>
      <c r="M25" s="223"/>
      <c r="N25" s="223"/>
      <c r="O25" s="223"/>
      <c r="P25" s="224"/>
    </row>
    <row r="26" spans="1:16" ht="20.25" x14ac:dyDescent="0.3">
      <c r="A26" s="222"/>
      <c r="B26" s="228" t="s">
        <v>473</v>
      </c>
      <c r="C26" s="223"/>
      <c r="D26" s="223"/>
      <c r="E26" s="223"/>
      <c r="F26" s="223"/>
      <c r="G26" s="223"/>
      <c r="H26" s="223"/>
      <c r="I26" s="223"/>
      <c r="J26" s="223"/>
      <c r="K26" s="223"/>
      <c r="L26" s="223"/>
      <c r="M26" s="223"/>
      <c r="N26" s="223"/>
      <c r="O26" s="223"/>
      <c r="P26" s="224"/>
    </row>
    <row r="27" spans="1:16" x14ac:dyDescent="0.2">
      <c r="A27" s="222"/>
      <c r="B27" s="237" t="s">
        <v>474</v>
      </c>
      <c r="C27" s="223"/>
      <c r="D27" s="223"/>
      <c r="E27" s="223"/>
      <c r="F27" s="223"/>
      <c r="G27" s="223"/>
      <c r="H27" s="223"/>
      <c r="I27" s="223"/>
      <c r="J27" s="223"/>
      <c r="K27" s="223"/>
      <c r="L27" s="223"/>
      <c r="M27" s="223"/>
      <c r="N27" s="223"/>
      <c r="O27" s="223"/>
      <c r="P27" s="224"/>
    </row>
    <row r="28" spans="1:16" x14ac:dyDescent="0.2">
      <c r="A28" s="222"/>
      <c r="B28" s="223" t="s">
        <v>475</v>
      </c>
      <c r="C28" s="223"/>
      <c r="D28" s="223"/>
      <c r="E28" s="223"/>
      <c r="F28" s="223"/>
      <c r="G28" s="223"/>
      <c r="H28" s="223"/>
      <c r="I28" s="223"/>
      <c r="J28" s="223"/>
      <c r="K28" s="223"/>
      <c r="L28" s="223"/>
      <c r="M28" s="223"/>
      <c r="N28" s="223"/>
      <c r="O28" s="223"/>
      <c r="P28" s="224"/>
    </row>
    <row r="29" spans="1:16" x14ac:dyDescent="0.2">
      <c r="A29" s="222"/>
      <c r="B29" s="223"/>
      <c r="C29" s="223"/>
      <c r="D29" s="223"/>
      <c r="E29" s="223"/>
      <c r="F29" s="223"/>
      <c r="G29" s="223"/>
      <c r="H29" s="223"/>
      <c r="I29" s="223"/>
      <c r="J29" s="223"/>
      <c r="K29" s="223"/>
      <c r="L29" s="223"/>
      <c r="M29" s="223"/>
      <c r="N29" s="223"/>
      <c r="O29" s="223"/>
      <c r="P29" s="224"/>
    </row>
    <row r="30" spans="1:16" x14ac:dyDescent="0.2">
      <c r="A30" s="222"/>
      <c r="B30" s="237" t="s">
        <v>476</v>
      </c>
      <c r="C30" s="223"/>
      <c r="D30" s="223"/>
      <c r="E30" s="223"/>
      <c r="F30" s="223"/>
      <c r="G30" s="223"/>
      <c r="H30" s="223"/>
      <c r="I30" s="223"/>
      <c r="J30" s="223"/>
      <c r="K30" s="223"/>
      <c r="L30" s="223"/>
      <c r="M30" s="223"/>
      <c r="N30" s="223"/>
      <c r="O30" s="223"/>
      <c r="P30" s="224"/>
    </row>
    <row r="31" spans="1:16" x14ac:dyDescent="0.2">
      <c r="A31" s="222"/>
      <c r="B31" s="223"/>
      <c r="C31" s="223"/>
      <c r="D31" s="223"/>
      <c r="E31" s="223"/>
      <c r="F31" s="223"/>
      <c r="G31" s="223"/>
      <c r="H31" s="223"/>
      <c r="I31" s="223"/>
      <c r="J31" s="223"/>
      <c r="K31" s="223"/>
      <c r="L31" s="223"/>
      <c r="M31" s="223"/>
      <c r="N31" s="223"/>
      <c r="O31" s="223"/>
      <c r="P31" s="224"/>
    </row>
    <row r="32" spans="1:16" x14ac:dyDescent="0.2">
      <c r="A32" s="222"/>
      <c r="B32" s="223" t="s">
        <v>477</v>
      </c>
      <c r="C32" s="223"/>
      <c r="D32" s="223"/>
      <c r="E32" s="223"/>
      <c r="F32" s="223"/>
      <c r="G32" s="223"/>
      <c r="H32" s="223"/>
      <c r="I32" s="223"/>
      <c r="J32" s="223"/>
      <c r="K32" s="223"/>
      <c r="L32" s="223"/>
      <c r="M32" s="223"/>
      <c r="N32" s="223"/>
      <c r="O32" s="223"/>
      <c r="P32" s="224"/>
    </row>
    <row r="33" spans="1:16" ht="13.5" thickBot="1" x14ac:dyDescent="0.25">
      <c r="A33" s="222"/>
      <c r="B33" s="237"/>
      <c r="C33" s="223"/>
      <c r="D33" s="223"/>
      <c r="E33" s="223"/>
      <c r="F33" s="223"/>
      <c r="G33" s="223"/>
      <c r="H33" s="223"/>
      <c r="I33" s="223"/>
      <c r="J33" s="223"/>
      <c r="K33" s="223"/>
      <c r="L33" s="223"/>
      <c r="M33" s="223"/>
      <c r="N33" s="223"/>
      <c r="O33" s="223"/>
      <c r="P33" s="224"/>
    </row>
    <row r="34" spans="1:16" x14ac:dyDescent="0.2">
      <c r="A34" s="222"/>
      <c r="B34" s="341" t="s">
        <v>494</v>
      </c>
      <c r="C34" s="342"/>
      <c r="D34" s="342"/>
      <c r="E34" s="342"/>
      <c r="F34" s="342"/>
      <c r="G34" s="342"/>
      <c r="H34" s="342"/>
      <c r="I34" s="342"/>
      <c r="J34" s="342"/>
      <c r="K34" s="342"/>
      <c r="L34" s="342"/>
      <c r="M34" s="343"/>
      <c r="N34" s="223"/>
      <c r="O34" s="223"/>
      <c r="P34" s="224"/>
    </row>
    <row r="35" spans="1:16" x14ac:dyDescent="0.2">
      <c r="A35" s="222"/>
      <c r="B35" s="344"/>
      <c r="C35" s="345"/>
      <c r="D35" s="345"/>
      <c r="E35" s="345"/>
      <c r="F35" s="345"/>
      <c r="G35" s="345"/>
      <c r="H35" s="345"/>
      <c r="I35" s="345"/>
      <c r="J35" s="345"/>
      <c r="K35" s="345"/>
      <c r="L35" s="345"/>
      <c r="M35" s="346"/>
      <c r="N35" s="223"/>
      <c r="O35" s="223"/>
      <c r="P35" s="224"/>
    </row>
    <row r="36" spans="1:16" x14ac:dyDescent="0.2">
      <c r="A36" s="222"/>
      <c r="B36" s="344"/>
      <c r="C36" s="345"/>
      <c r="D36" s="345"/>
      <c r="E36" s="345"/>
      <c r="F36" s="345"/>
      <c r="G36" s="345"/>
      <c r="H36" s="345"/>
      <c r="I36" s="345"/>
      <c r="J36" s="345"/>
      <c r="K36" s="345"/>
      <c r="L36" s="345"/>
      <c r="M36" s="346"/>
      <c r="N36" s="223"/>
      <c r="O36" s="223"/>
      <c r="P36" s="224"/>
    </row>
    <row r="37" spans="1:16" x14ac:dyDescent="0.2">
      <c r="A37" s="222"/>
      <c r="B37" s="344"/>
      <c r="C37" s="345"/>
      <c r="D37" s="345"/>
      <c r="E37" s="345"/>
      <c r="F37" s="345"/>
      <c r="G37" s="345"/>
      <c r="H37" s="345"/>
      <c r="I37" s="345"/>
      <c r="J37" s="345"/>
      <c r="K37" s="345"/>
      <c r="L37" s="345"/>
      <c r="M37" s="346"/>
      <c r="N37" s="223"/>
      <c r="O37" s="223"/>
      <c r="P37" s="224"/>
    </row>
    <row r="38" spans="1:16" x14ac:dyDescent="0.2">
      <c r="A38" s="222"/>
      <c r="B38" s="344"/>
      <c r="C38" s="345"/>
      <c r="D38" s="345"/>
      <c r="E38" s="345"/>
      <c r="F38" s="345"/>
      <c r="G38" s="345"/>
      <c r="H38" s="345"/>
      <c r="I38" s="345"/>
      <c r="J38" s="345"/>
      <c r="K38" s="345"/>
      <c r="L38" s="345"/>
      <c r="M38" s="346"/>
      <c r="N38" s="223"/>
      <c r="O38" s="223"/>
      <c r="P38" s="224"/>
    </row>
    <row r="39" spans="1:16" x14ac:dyDescent="0.2">
      <c r="A39" s="222"/>
      <c r="B39" s="344"/>
      <c r="C39" s="345"/>
      <c r="D39" s="345"/>
      <c r="E39" s="345"/>
      <c r="F39" s="345"/>
      <c r="G39" s="345"/>
      <c r="H39" s="345"/>
      <c r="I39" s="345"/>
      <c r="J39" s="345"/>
      <c r="K39" s="345"/>
      <c r="L39" s="345"/>
      <c r="M39" s="346"/>
      <c r="N39" s="223"/>
      <c r="O39" s="223"/>
      <c r="P39" s="224"/>
    </row>
    <row r="40" spans="1:16" x14ac:dyDescent="0.2">
      <c r="A40" s="222"/>
      <c r="B40" s="344"/>
      <c r="C40" s="345"/>
      <c r="D40" s="345"/>
      <c r="E40" s="345"/>
      <c r="F40" s="345"/>
      <c r="G40" s="345"/>
      <c r="H40" s="345"/>
      <c r="I40" s="345"/>
      <c r="J40" s="345"/>
      <c r="K40" s="345"/>
      <c r="L40" s="345"/>
      <c r="M40" s="346"/>
      <c r="N40" s="223"/>
      <c r="O40" s="223"/>
      <c r="P40" s="224"/>
    </row>
    <row r="41" spans="1:16" x14ac:dyDescent="0.2">
      <c r="A41" s="222"/>
      <c r="B41" s="344"/>
      <c r="C41" s="345"/>
      <c r="D41" s="345"/>
      <c r="E41" s="345"/>
      <c r="F41" s="345"/>
      <c r="G41" s="345"/>
      <c r="H41" s="345"/>
      <c r="I41" s="345"/>
      <c r="J41" s="345"/>
      <c r="K41" s="345"/>
      <c r="L41" s="345"/>
      <c r="M41" s="346"/>
      <c r="N41" s="223"/>
      <c r="O41" s="223"/>
      <c r="P41" s="224"/>
    </row>
    <row r="42" spans="1:16" x14ac:dyDescent="0.2">
      <c r="A42" s="222"/>
      <c r="B42" s="344"/>
      <c r="C42" s="345"/>
      <c r="D42" s="345"/>
      <c r="E42" s="345"/>
      <c r="F42" s="345"/>
      <c r="G42" s="345"/>
      <c r="H42" s="345"/>
      <c r="I42" s="345"/>
      <c r="J42" s="345"/>
      <c r="K42" s="345"/>
      <c r="L42" s="345"/>
      <c r="M42" s="346"/>
      <c r="N42" s="223"/>
      <c r="O42" s="223"/>
      <c r="P42" s="224"/>
    </row>
    <row r="43" spans="1:16" x14ac:dyDescent="0.2">
      <c r="A43" s="222"/>
      <c r="B43" s="344"/>
      <c r="C43" s="345"/>
      <c r="D43" s="345"/>
      <c r="E43" s="345"/>
      <c r="F43" s="345"/>
      <c r="G43" s="345"/>
      <c r="H43" s="345"/>
      <c r="I43" s="345"/>
      <c r="J43" s="345"/>
      <c r="K43" s="345"/>
      <c r="L43" s="345"/>
      <c r="M43" s="346"/>
      <c r="N43" s="223"/>
      <c r="O43" s="223"/>
      <c r="P43" s="224"/>
    </row>
    <row r="44" spans="1:16" x14ac:dyDescent="0.2">
      <c r="A44" s="222"/>
      <c r="B44" s="344"/>
      <c r="C44" s="345"/>
      <c r="D44" s="345"/>
      <c r="E44" s="345"/>
      <c r="F44" s="345"/>
      <c r="G44" s="345"/>
      <c r="H44" s="345"/>
      <c r="I44" s="345"/>
      <c r="J44" s="345"/>
      <c r="K44" s="345"/>
      <c r="L44" s="345"/>
      <c r="M44" s="346"/>
      <c r="N44" s="223"/>
      <c r="O44" s="223"/>
      <c r="P44" s="224"/>
    </row>
    <row r="45" spans="1:16" x14ac:dyDescent="0.2">
      <c r="A45" s="222"/>
      <c r="B45" s="344"/>
      <c r="C45" s="345"/>
      <c r="D45" s="345"/>
      <c r="E45" s="345"/>
      <c r="F45" s="345"/>
      <c r="G45" s="345"/>
      <c r="H45" s="345"/>
      <c r="I45" s="345"/>
      <c r="J45" s="345"/>
      <c r="K45" s="345"/>
      <c r="L45" s="345"/>
      <c r="M45" s="346"/>
      <c r="N45" s="223"/>
      <c r="O45" s="223"/>
      <c r="P45" s="224"/>
    </row>
    <row r="46" spans="1:16" x14ac:dyDescent="0.2">
      <c r="A46" s="222"/>
      <c r="B46" s="344"/>
      <c r="C46" s="345"/>
      <c r="D46" s="345"/>
      <c r="E46" s="345"/>
      <c r="F46" s="345"/>
      <c r="G46" s="345"/>
      <c r="H46" s="345"/>
      <c r="I46" s="345"/>
      <c r="J46" s="345"/>
      <c r="K46" s="345"/>
      <c r="L46" s="345"/>
      <c r="M46" s="346"/>
      <c r="N46" s="223"/>
      <c r="O46" s="223"/>
      <c r="P46" s="224"/>
    </row>
    <row r="47" spans="1:16" x14ac:dyDescent="0.2">
      <c r="A47" s="222"/>
      <c r="B47" s="344"/>
      <c r="C47" s="345"/>
      <c r="D47" s="345"/>
      <c r="E47" s="345"/>
      <c r="F47" s="345"/>
      <c r="G47" s="345"/>
      <c r="H47" s="345"/>
      <c r="I47" s="345"/>
      <c r="J47" s="345"/>
      <c r="K47" s="345"/>
      <c r="L47" s="345"/>
      <c r="M47" s="346"/>
      <c r="N47" s="223"/>
      <c r="O47" s="223"/>
      <c r="P47" s="224"/>
    </row>
    <row r="48" spans="1:16" x14ac:dyDescent="0.2">
      <c r="A48" s="222"/>
      <c r="B48" s="344"/>
      <c r="C48" s="345"/>
      <c r="D48" s="345"/>
      <c r="E48" s="345"/>
      <c r="F48" s="345"/>
      <c r="G48" s="345"/>
      <c r="H48" s="345"/>
      <c r="I48" s="345"/>
      <c r="J48" s="345"/>
      <c r="K48" s="345"/>
      <c r="L48" s="345"/>
      <c r="M48" s="346"/>
      <c r="N48" s="223"/>
      <c r="O48" s="223"/>
      <c r="P48" s="224"/>
    </row>
    <row r="49" spans="1:16" x14ac:dyDescent="0.2">
      <c r="A49" s="222"/>
      <c r="B49" s="344"/>
      <c r="C49" s="345"/>
      <c r="D49" s="345"/>
      <c r="E49" s="345"/>
      <c r="F49" s="345"/>
      <c r="G49" s="345"/>
      <c r="H49" s="345"/>
      <c r="I49" s="345"/>
      <c r="J49" s="345"/>
      <c r="K49" s="345"/>
      <c r="L49" s="345"/>
      <c r="M49" s="346"/>
      <c r="N49" s="223"/>
      <c r="O49" s="223"/>
      <c r="P49" s="224"/>
    </row>
    <row r="50" spans="1:16" x14ac:dyDescent="0.2">
      <c r="A50" s="222"/>
      <c r="B50" s="344"/>
      <c r="C50" s="345"/>
      <c r="D50" s="345"/>
      <c r="E50" s="345"/>
      <c r="F50" s="345"/>
      <c r="G50" s="345"/>
      <c r="H50" s="345"/>
      <c r="I50" s="345"/>
      <c r="J50" s="345"/>
      <c r="K50" s="345"/>
      <c r="L50" s="345"/>
      <c r="M50" s="346"/>
      <c r="N50" s="223"/>
      <c r="O50" s="223"/>
      <c r="P50" s="224"/>
    </row>
    <row r="51" spans="1:16" x14ac:dyDescent="0.2">
      <c r="A51" s="222"/>
      <c r="B51" s="344"/>
      <c r="C51" s="345"/>
      <c r="D51" s="345"/>
      <c r="E51" s="345"/>
      <c r="F51" s="345"/>
      <c r="G51" s="345"/>
      <c r="H51" s="345"/>
      <c r="I51" s="345"/>
      <c r="J51" s="345"/>
      <c r="K51" s="345"/>
      <c r="L51" s="345"/>
      <c r="M51" s="346"/>
      <c r="N51" s="223"/>
      <c r="O51" s="223"/>
      <c r="P51" s="224"/>
    </row>
    <row r="52" spans="1:16" x14ac:dyDescent="0.2">
      <c r="A52" s="222"/>
      <c r="B52" s="344"/>
      <c r="C52" s="345"/>
      <c r="D52" s="345"/>
      <c r="E52" s="345"/>
      <c r="F52" s="345"/>
      <c r="G52" s="345"/>
      <c r="H52" s="345"/>
      <c r="I52" s="345"/>
      <c r="J52" s="345"/>
      <c r="K52" s="345"/>
      <c r="L52" s="345"/>
      <c r="M52" s="346"/>
      <c r="N52" s="223"/>
      <c r="O52" s="223"/>
      <c r="P52" s="224"/>
    </row>
    <row r="53" spans="1:16" x14ac:dyDescent="0.2">
      <c r="A53" s="222"/>
      <c r="B53" s="344"/>
      <c r="C53" s="345"/>
      <c r="D53" s="345"/>
      <c r="E53" s="345"/>
      <c r="F53" s="345"/>
      <c r="G53" s="345"/>
      <c r="H53" s="345"/>
      <c r="I53" s="345"/>
      <c r="J53" s="345"/>
      <c r="K53" s="345"/>
      <c r="L53" s="345"/>
      <c r="M53" s="346"/>
      <c r="N53" s="223"/>
      <c r="O53" s="223"/>
      <c r="P53" s="224"/>
    </row>
    <row r="54" spans="1:16" x14ac:dyDescent="0.2">
      <c r="A54" s="222"/>
      <c r="B54" s="344"/>
      <c r="C54" s="345"/>
      <c r="D54" s="345"/>
      <c r="E54" s="345"/>
      <c r="F54" s="345"/>
      <c r="G54" s="345"/>
      <c r="H54" s="345"/>
      <c r="I54" s="345"/>
      <c r="J54" s="345"/>
      <c r="K54" s="345"/>
      <c r="L54" s="345"/>
      <c r="M54" s="346"/>
      <c r="N54" s="223"/>
      <c r="O54" s="223"/>
      <c r="P54" s="224"/>
    </row>
    <row r="55" spans="1:16" x14ac:dyDescent="0.2">
      <c r="A55" s="222"/>
      <c r="B55" s="344"/>
      <c r="C55" s="345"/>
      <c r="D55" s="345"/>
      <c r="E55" s="345"/>
      <c r="F55" s="345"/>
      <c r="G55" s="345"/>
      <c r="H55" s="345"/>
      <c r="I55" s="345"/>
      <c r="J55" s="345"/>
      <c r="K55" s="345"/>
      <c r="L55" s="345"/>
      <c r="M55" s="346"/>
      <c r="N55" s="223"/>
      <c r="O55" s="223"/>
      <c r="P55" s="224"/>
    </row>
    <row r="56" spans="1:16" x14ac:dyDescent="0.2">
      <c r="A56" s="222"/>
      <c r="B56" s="344"/>
      <c r="C56" s="345"/>
      <c r="D56" s="345"/>
      <c r="E56" s="345"/>
      <c r="F56" s="345"/>
      <c r="G56" s="345"/>
      <c r="H56" s="345"/>
      <c r="I56" s="345"/>
      <c r="J56" s="345"/>
      <c r="K56" s="345"/>
      <c r="L56" s="345"/>
      <c r="M56" s="346"/>
      <c r="N56" s="223"/>
      <c r="O56" s="223"/>
      <c r="P56" s="224"/>
    </row>
    <row r="57" spans="1:16" x14ac:dyDescent="0.2">
      <c r="A57" s="222"/>
      <c r="B57" s="344"/>
      <c r="C57" s="345"/>
      <c r="D57" s="345"/>
      <c r="E57" s="345"/>
      <c r="F57" s="345"/>
      <c r="G57" s="345"/>
      <c r="H57" s="345"/>
      <c r="I57" s="345"/>
      <c r="J57" s="345"/>
      <c r="K57" s="345"/>
      <c r="L57" s="345"/>
      <c r="M57" s="346"/>
      <c r="N57" s="223"/>
      <c r="O57" s="223"/>
      <c r="P57" s="224"/>
    </row>
    <row r="58" spans="1:16" x14ac:dyDescent="0.2">
      <c r="A58" s="222"/>
      <c r="B58" s="344"/>
      <c r="C58" s="345"/>
      <c r="D58" s="345"/>
      <c r="E58" s="345"/>
      <c r="F58" s="345"/>
      <c r="G58" s="345"/>
      <c r="H58" s="345"/>
      <c r="I58" s="345"/>
      <c r="J58" s="345"/>
      <c r="K58" s="345"/>
      <c r="L58" s="345"/>
      <c r="M58" s="346"/>
      <c r="N58" s="223"/>
      <c r="O58" s="223"/>
      <c r="P58" s="224"/>
    </row>
    <row r="59" spans="1:16" x14ac:dyDescent="0.2">
      <c r="A59" s="222"/>
      <c r="B59" s="344"/>
      <c r="C59" s="345"/>
      <c r="D59" s="345"/>
      <c r="E59" s="345"/>
      <c r="F59" s="345"/>
      <c r="G59" s="345"/>
      <c r="H59" s="345"/>
      <c r="I59" s="345"/>
      <c r="J59" s="345"/>
      <c r="K59" s="345"/>
      <c r="L59" s="345"/>
      <c r="M59" s="346"/>
      <c r="N59" s="223"/>
      <c r="O59" s="223"/>
      <c r="P59" s="224"/>
    </row>
    <row r="60" spans="1:16" x14ac:dyDescent="0.2">
      <c r="A60" s="222"/>
      <c r="B60" s="344"/>
      <c r="C60" s="345"/>
      <c r="D60" s="345"/>
      <c r="E60" s="345"/>
      <c r="F60" s="345"/>
      <c r="G60" s="345"/>
      <c r="H60" s="345"/>
      <c r="I60" s="345"/>
      <c r="J60" s="345"/>
      <c r="K60" s="345"/>
      <c r="L60" s="345"/>
      <c r="M60" s="346"/>
      <c r="N60" s="223"/>
      <c r="O60" s="223"/>
      <c r="P60" s="224"/>
    </row>
    <row r="61" spans="1:16" x14ac:dyDescent="0.2">
      <c r="A61" s="222"/>
      <c r="B61" s="344"/>
      <c r="C61" s="345"/>
      <c r="D61" s="345"/>
      <c r="E61" s="345"/>
      <c r="F61" s="345"/>
      <c r="G61" s="345"/>
      <c r="H61" s="345"/>
      <c r="I61" s="345"/>
      <c r="J61" s="345"/>
      <c r="K61" s="345"/>
      <c r="L61" s="345"/>
      <c r="M61" s="346"/>
      <c r="N61" s="223"/>
      <c r="O61" s="223"/>
      <c r="P61" s="224"/>
    </row>
    <row r="62" spans="1:16" x14ac:dyDescent="0.2">
      <c r="A62" s="222"/>
      <c r="B62" s="344"/>
      <c r="C62" s="345"/>
      <c r="D62" s="345"/>
      <c r="E62" s="345"/>
      <c r="F62" s="345"/>
      <c r="G62" s="345"/>
      <c r="H62" s="345"/>
      <c r="I62" s="345"/>
      <c r="J62" s="345"/>
      <c r="K62" s="345"/>
      <c r="L62" s="345"/>
      <c r="M62" s="346"/>
      <c r="N62" s="223"/>
      <c r="O62" s="223"/>
      <c r="P62" s="224"/>
    </row>
    <row r="63" spans="1:16" x14ac:dyDescent="0.2">
      <c r="A63" s="222"/>
      <c r="B63" s="344"/>
      <c r="C63" s="345"/>
      <c r="D63" s="345"/>
      <c r="E63" s="345"/>
      <c r="F63" s="345"/>
      <c r="G63" s="345"/>
      <c r="H63" s="345"/>
      <c r="I63" s="345"/>
      <c r="J63" s="345"/>
      <c r="K63" s="345"/>
      <c r="L63" s="345"/>
      <c r="M63" s="346"/>
      <c r="N63" s="223"/>
      <c r="O63" s="223"/>
      <c r="P63" s="224"/>
    </row>
    <row r="64" spans="1:16" x14ac:dyDescent="0.2">
      <c r="A64" s="222"/>
      <c r="B64" s="344"/>
      <c r="C64" s="345"/>
      <c r="D64" s="345"/>
      <c r="E64" s="345"/>
      <c r="F64" s="345"/>
      <c r="G64" s="345"/>
      <c r="H64" s="345"/>
      <c r="I64" s="345"/>
      <c r="J64" s="345"/>
      <c r="K64" s="345"/>
      <c r="L64" s="345"/>
      <c r="M64" s="346"/>
      <c r="N64" s="223"/>
      <c r="O64" s="223"/>
      <c r="P64" s="224"/>
    </row>
    <row r="65" spans="1:16" x14ac:dyDescent="0.2">
      <c r="A65" s="222"/>
      <c r="B65" s="344"/>
      <c r="C65" s="345"/>
      <c r="D65" s="345"/>
      <c r="E65" s="345"/>
      <c r="F65" s="345"/>
      <c r="G65" s="345"/>
      <c r="H65" s="345"/>
      <c r="I65" s="345"/>
      <c r="J65" s="345"/>
      <c r="K65" s="345"/>
      <c r="L65" s="345"/>
      <c r="M65" s="346"/>
      <c r="N65" s="223"/>
      <c r="O65" s="223"/>
      <c r="P65" s="224"/>
    </row>
    <row r="66" spans="1:16" x14ac:dyDescent="0.2">
      <c r="A66" s="222"/>
      <c r="B66" s="344"/>
      <c r="C66" s="345"/>
      <c r="D66" s="345"/>
      <c r="E66" s="345"/>
      <c r="F66" s="345"/>
      <c r="G66" s="345"/>
      <c r="H66" s="345"/>
      <c r="I66" s="345"/>
      <c r="J66" s="345"/>
      <c r="K66" s="345"/>
      <c r="L66" s="345"/>
      <c r="M66" s="346"/>
      <c r="N66" s="223"/>
      <c r="O66" s="223"/>
      <c r="P66" s="224"/>
    </row>
    <row r="67" spans="1:16" x14ac:dyDescent="0.2">
      <c r="A67" s="222"/>
      <c r="B67" s="344"/>
      <c r="C67" s="345"/>
      <c r="D67" s="345"/>
      <c r="E67" s="345"/>
      <c r="F67" s="345"/>
      <c r="G67" s="345"/>
      <c r="H67" s="345"/>
      <c r="I67" s="345"/>
      <c r="J67" s="345"/>
      <c r="K67" s="345"/>
      <c r="L67" s="345"/>
      <c r="M67" s="346"/>
      <c r="N67" s="223"/>
      <c r="O67" s="223"/>
      <c r="P67" s="224"/>
    </row>
    <row r="68" spans="1:16" x14ac:dyDescent="0.2">
      <c r="A68" s="222"/>
      <c r="B68" s="344"/>
      <c r="C68" s="345"/>
      <c r="D68" s="345"/>
      <c r="E68" s="345"/>
      <c r="F68" s="345"/>
      <c r="G68" s="345"/>
      <c r="H68" s="345"/>
      <c r="I68" s="345"/>
      <c r="J68" s="345"/>
      <c r="K68" s="345"/>
      <c r="L68" s="345"/>
      <c r="M68" s="346"/>
      <c r="N68" s="223"/>
      <c r="O68" s="223"/>
      <c r="P68" s="224"/>
    </row>
    <row r="69" spans="1:16" x14ac:dyDescent="0.2">
      <c r="A69" s="222"/>
      <c r="B69" s="344"/>
      <c r="C69" s="345"/>
      <c r="D69" s="345"/>
      <c r="E69" s="345"/>
      <c r="F69" s="345"/>
      <c r="G69" s="345"/>
      <c r="H69" s="345"/>
      <c r="I69" s="345"/>
      <c r="J69" s="345"/>
      <c r="K69" s="345"/>
      <c r="L69" s="345"/>
      <c r="M69" s="346"/>
      <c r="N69" s="223"/>
      <c r="O69" s="223"/>
      <c r="P69" s="224"/>
    </row>
    <row r="70" spans="1:16" x14ac:dyDescent="0.2">
      <c r="A70" s="222"/>
      <c r="B70" s="344"/>
      <c r="C70" s="345"/>
      <c r="D70" s="345"/>
      <c r="E70" s="345"/>
      <c r="F70" s="345"/>
      <c r="G70" s="345"/>
      <c r="H70" s="345"/>
      <c r="I70" s="345"/>
      <c r="J70" s="345"/>
      <c r="K70" s="345"/>
      <c r="L70" s="345"/>
      <c r="M70" s="346"/>
      <c r="N70" s="223"/>
      <c r="O70" s="223"/>
      <c r="P70" s="224"/>
    </row>
    <row r="71" spans="1:16" x14ac:dyDescent="0.2">
      <c r="A71" s="222"/>
      <c r="B71" s="344"/>
      <c r="C71" s="345"/>
      <c r="D71" s="345"/>
      <c r="E71" s="345"/>
      <c r="F71" s="345"/>
      <c r="G71" s="345"/>
      <c r="H71" s="345"/>
      <c r="I71" s="345"/>
      <c r="J71" s="345"/>
      <c r="K71" s="345"/>
      <c r="L71" s="345"/>
      <c r="M71" s="346"/>
      <c r="N71" s="223"/>
      <c r="O71" s="223"/>
      <c r="P71" s="224"/>
    </row>
    <row r="72" spans="1:16" x14ac:dyDescent="0.2">
      <c r="A72" s="222"/>
      <c r="B72" s="344"/>
      <c r="C72" s="345"/>
      <c r="D72" s="345"/>
      <c r="E72" s="345"/>
      <c r="F72" s="345"/>
      <c r="G72" s="345"/>
      <c r="H72" s="345"/>
      <c r="I72" s="345"/>
      <c r="J72" s="345"/>
      <c r="K72" s="345"/>
      <c r="L72" s="345"/>
      <c r="M72" s="346"/>
      <c r="N72" s="223"/>
      <c r="O72" s="223"/>
      <c r="P72" s="224"/>
    </row>
    <row r="73" spans="1:16" x14ac:dyDescent="0.2">
      <c r="A73" s="222"/>
      <c r="B73" s="344"/>
      <c r="C73" s="345"/>
      <c r="D73" s="345"/>
      <c r="E73" s="345"/>
      <c r="F73" s="345"/>
      <c r="G73" s="345"/>
      <c r="H73" s="345"/>
      <c r="I73" s="345"/>
      <c r="J73" s="345"/>
      <c r="K73" s="345"/>
      <c r="L73" s="345"/>
      <c r="M73" s="346"/>
      <c r="N73" s="223"/>
      <c r="O73" s="223"/>
      <c r="P73" s="224"/>
    </row>
    <row r="74" spans="1:16" x14ac:dyDescent="0.2">
      <c r="A74" s="222"/>
      <c r="B74" s="344"/>
      <c r="C74" s="345"/>
      <c r="D74" s="345"/>
      <c r="E74" s="345"/>
      <c r="F74" s="345"/>
      <c r="G74" s="345"/>
      <c r="H74" s="345"/>
      <c r="I74" s="345"/>
      <c r="J74" s="345"/>
      <c r="K74" s="345"/>
      <c r="L74" s="345"/>
      <c r="M74" s="346"/>
      <c r="N74" s="223"/>
      <c r="O74" s="223"/>
      <c r="P74" s="224"/>
    </row>
    <row r="75" spans="1:16" x14ac:dyDescent="0.2">
      <c r="A75" s="222"/>
      <c r="B75" s="344"/>
      <c r="C75" s="345"/>
      <c r="D75" s="345"/>
      <c r="E75" s="345"/>
      <c r="F75" s="345"/>
      <c r="G75" s="345"/>
      <c r="H75" s="345"/>
      <c r="I75" s="345"/>
      <c r="J75" s="345"/>
      <c r="K75" s="345"/>
      <c r="L75" s="345"/>
      <c r="M75" s="346"/>
      <c r="N75" s="223"/>
      <c r="O75" s="223"/>
      <c r="P75" s="224"/>
    </row>
    <row r="76" spans="1:16" x14ac:dyDescent="0.2">
      <c r="A76" s="222"/>
      <c r="B76" s="344"/>
      <c r="C76" s="345"/>
      <c r="D76" s="345"/>
      <c r="E76" s="345"/>
      <c r="F76" s="345"/>
      <c r="G76" s="345"/>
      <c r="H76" s="345"/>
      <c r="I76" s="345"/>
      <c r="J76" s="345"/>
      <c r="K76" s="345"/>
      <c r="L76" s="345"/>
      <c r="M76" s="346"/>
      <c r="N76" s="223"/>
      <c r="O76" s="223"/>
      <c r="P76" s="224"/>
    </row>
    <row r="77" spans="1:16" x14ac:dyDescent="0.2">
      <c r="A77" s="222"/>
      <c r="B77" s="344"/>
      <c r="C77" s="345"/>
      <c r="D77" s="345"/>
      <c r="E77" s="345"/>
      <c r="F77" s="345"/>
      <c r="G77" s="345"/>
      <c r="H77" s="345"/>
      <c r="I77" s="345"/>
      <c r="J77" s="345"/>
      <c r="K77" s="345"/>
      <c r="L77" s="345"/>
      <c r="M77" s="346"/>
      <c r="N77" s="223"/>
      <c r="O77" s="223"/>
      <c r="P77" s="224"/>
    </row>
    <row r="78" spans="1:16" x14ac:dyDescent="0.2">
      <c r="A78" s="222"/>
      <c r="B78" s="344"/>
      <c r="C78" s="345"/>
      <c r="D78" s="345"/>
      <c r="E78" s="345"/>
      <c r="F78" s="345"/>
      <c r="G78" s="345"/>
      <c r="H78" s="345"/>
      <c r="I78" s="345"/>
      <c r="J78" s="345"/>
      <c r="K78" s="345"/>
      <c r="L78" s="345"/>
      <c r="M78" s="346"/>
      <c r="N78" s="223"/>
      <c r="O78" s="223"/>
      <c r="P78" s="224"/>
    </row>
    <row r="79" spans="1:16" x14ac:dyDescent="0.2">
      <c r="A79" s="222"/>
      <c r="B79" s="344"/>
      <c r="C79" s="345"/>
      <c r="D79" s="345"/>
      <c r="E79" s="345"/>
      <c r="F79" s="345"/>
      <c r="G79" s="345"/>
      <c r="H79" s="345"/>
      <c r="I79" s="345"/>
      <c r="J79" s="345"/>
      <c r="K79" s="345"/>
      <c r="L79" s="345"/>
      <c r="M79" s="346"/>
      <c r="N79" s="223"/>
      <c r="O79" s="223"/>
      <c r="P79" s="224"/>
    </row>
    <row r="80" spans="1:16" x14ac:dyDescent="0.2">
      <c r="A80" s="222"/>
      <c r="B80" s="344"/>
      <c r="C80" s="345"/>
      <c r="D80" s="345"/>
      <c r="E80" s="345"/>
      <c r="F80" s="345"/>
      <c r="G80" s="345"/>
      <c r="H80" s="345"/>
      <c r="I80" s="345"/>
      <c r="J80" s="345"/>
      <c r="K80" s="345"/>
      <c r="L80" s="345"/>
      <c r="M80" s="346"/>
      <c r="N80" s="223"/>
      <c r="O80" s="223"/>
      <c r="P80" s="224"/>
    </row>
    <row r="81" spans="1:16" x14ac:dyDescent="0.2">
      <c r="A81" s="222"/>
      <c r="B81" s="344"/>
      <c r="C81" s="345"/>
      <c r="D81" s="345"/>
      <c r="E81" s="345"/>
      <c r="F81" s="345"/>
      <c r="G81" s="345"/>
      <c r="H81" s="345"/>
      <c r="I81" s="345"/>
      <c r="J81" s="345"/>
      <c r="K81" s="345"/>
      <c r="L81" s="345"/>
      <c r="M81" s="346"/>
      <c r="N81" s="223"/>
      <c r="O81" s="223"/>
      <c r="P81" s="224"/>
    </row>
    <row r="82" spans="1:16" x14ac:dyDescent="0.2">
      <c r="A82" s="222"/>
      <c r="B82" s="344"/>
      <c r="C82" s="345"/>
      <c r="D82" s="345"/>
      <c r="E82" s="345"/>
      <c r="F82" s="345"/>
      <c r="G82" s="345"/>
      <c r="H82" s="345"/>
      <c r="I82" s="345"/>
      <c r="J82" s="345"/>
      <c r="K82" s="345"/>
      <c r="L82" s="345"/>
      <c r="M82" s="346"/>
      <c r="N82" s="223"/>
      <c r="O82" s="223"/>
      <c r="P82" s="224"/>
    </row>
    <row r="83" spans="1:16" x14ac:dyDescent="0.2">
      <c r="A83" s="222"/>
      <c r="B83" s="344"/>
      <c r="C83" s="345"/>
      <c r="D83" s="345"/>
      <c r="E83" s="345"/>
      <c r="F83" s="345"/>
      <c r="G83" s="345"/>
      <c r="H83" s="345"/>
      <c r="I83" s="345"/>
      <c r="J83" s="345"/>
      <c r="K83" s="345"/>
      <c r="L83" s="345"/>
      <c r="M83" s="346"/>
      <c r="N83" s="223"/>
      <c r="O83" s="223"/>
      <c r="P83" s="224"/>
    </row>
    <row r="84" spans="1:16" x14ac:dyDescent="0.2">
      <c r="A84" s="222"/>
      <c r="B84" s="344"/>
      <c r="C84" s="345"/>
      <c r="D84" s="345"/>
      <c r="E84" s="345"/>
      <c r="F84" s="345"/>
      <c r="G84" s="345"/>
      <c r="H84" s="345"/>
      <c r="I84" s="345"/>
      <c r="J84" s="345"/>
      <c r="K84" s="345"/>
      <c r="L84" s="345"/>
      <c r="M84" s="346"/>
      <c r="N84" s="223"/>
      <c r="O84" s="223"/>
      <c r="P84" s="224"/>
    </row>
    <row r="85" spans="1:16" x14ac:dyDescent="0.2">
      <c r="A85" s="222"/>
      <c r="B85" s="344"/>
      <c r="C85" s="345"/>
      <c r="D85" s="345"/>
      <c r="E85" s="345"/>
      <c r="F85" s="345"/>
      <c r="G85" s="345"/>
      <c r="H85" s="345"/>
      <c r="I85" s="345"/>
      <c r="J85" s="345"/>
      <c r="K85" s="345"/>
      <c r="L85" s="345"/>
      <c r="M85" s="346"/>
      <c r="N85" s="223"/>
      <c r="O85" s="223"/>
      <c r="P85" s="224"/>
    </row>
    <row r="86" spans="1:16" x14ac:dyDescent="0.2">
      <c r="A86" s="222"/>
      <c r="B86" s="344"/>
      <c r="C86" s="345"/>
      <c r="D86" s="345"/>
      <c r="E86" s="345"/>
      <c r="F86" s="345"/>
      <c r="G86" s="345"/>
      <c r="H86" s="345"/>
      <c r="I86" s="345"/>
      <c r="J86" s="345"/>
      <c r="K86" s="345"/>
      <c r="L86" s="345"/>
      <c r="M86" s="346"/>
      <c r="N86" s="223"/>
      <c r="O86" s="223"/>
      <c r="P86" s="224"/>
    </row>
    <row r="87" spans="1:16" x14ac:dyDescent="0.2">
      <c r="A87" s="222"/>
      <c r="B87" s="344"/>
      <c r="C87" s="345"/>
      <c r="D87" s="345"/>
      <c r="E87" s="345"/>
      <c r="F87" s="345"/>
      <c r="G87" s="345"/>
      <c r="H87" s="345"/>
      <c r="I87" s="345"/>
      <c r="J87" s="345"/>
      <c r="K87" s="345"/>
      <c r="L87" s="345"/>
      <c r="M87" s="346"/>
      <c r="N87" s="223"/>
      <c r="O87" s="223"/>
      <c r="P87" s="224"/>
    </row>
    <row r="88" spans="1:16" x14ac:dyDescent="0.2">
      <c r="A88" s="222"/>
      <c r="B88" s="344"/>
      <c r="C88" s="345"/>
      <c r="D88" s="345"/>
      <c r="E88" s="345"/>
      <c r="F88" s="345"/>
      <c r="G88" s="345"/>
      <c r="H88" s="345"/>
      <c r="I88" s="345"/>
      <c r="J88" s="345"/>
      <c r="K88" s="345"/>
      <c r="L88" s="345"/>
      <c r="M88" s="346"/>
      <c r="N88" s="223"/>
      <c r="O88" s="223"/>
      <c r="P88" s="224"/>
    </row>
    <row r="89" spans="1:16" x14ac:dyDescent="0.2">
      <c r="A89" s="222"/>
      <c r="B89" s="344"/>
      <c r="C89" s="345"/>
      <c r="D89" s="345"/>
      <c r="E89" s="345"/>
      <c r="F89" s="345"/>
      <c r="G89" s="345"/>
      <c r="H89" s="345"/>
      <c r="I89" s="345"/>
      <c r="J89" s="345"/>
      <c r="K89" s="345"/>
      <c r="L89" s="345"/>
      <c r="M89" s="346"/>
      <c r="N89" s="223"/>
      <c r="O89" s="223"/>
      <c r="P89" s="224"/>
    </row>
    <row r="90" spans="1:16" x14ac:dyDescent="0.2">
      <c r="A90" s="222"/>
      <c r="B90" s="344"/>
      <c r="C90" s="345"/>
      <c r="D90" s="345"/>
      <c r="E90" s="345"/>
      <c r="F90" s="345"/>
      <c r="G90" s="345"/>
      <c r="H90" s="345"/>
      <c r="I90" s="345"/>
      <c r="J90" s="345"/>
      <c r="K90" s="345"/>
      <c r="L90" s="345"/>
      <c r="M90" s="346"/>
      <c r="N90" s="223"/>
      <c r="O90" s="223"/>
      <c r="P90" s="224"/>
    </row>
    <row r="91" spans="1:16" x14ac:dyDescent="0.2">
      <c r="A91" s="222"/>
      <c r="B91" s="344"/>
      <c r="C91" s="345"/>
      <c r="D91" s="345"/>
      <c r="E91" s="345"/>
      <c r="F91" s="345"/>
      <c r="G91" s="345"/>
      <c r="H91" s="345"/>
      <c r="I91" s="345"/>
      <c r="J91" s="345"/>
      <c r="K91" s="345"/>
      <c r="L91" s="345"/>
      <c r="M91" s="346"/>
      <c r="N91" s="223"/>
      <c r="O91" s="223"/>
      <c r="P91" s="224"/>
    </row>
    <row r="92" spans="1:16" x14ac:dyDescent="0.2">
      <c r="A92" s="222"/>
      <c r="B92" s="344"/>
      <c r="C92" s="345"/>
      <c r="D92" s="345"/>
      <c r="E92" s="345"/>
      <c r="F92" s="345"/>
      <c r="G92" s="345"/>
      <c r="H92" s="345"/>
      <c r="I92" s="345"/>
      <c r="J92" s="345"/>
      <c r="K92" s="345"/>
      <c r="L92" s="345"/>
      <c r="M92" s="346"/>
      <c r="N92" s="223"/>
      <c r="O92" s="223"/>
      <c r="P92" s="224"/>
    </row>
    <row r="93" spans="1:16" x14ac:dyDescent="0.2">
      <c r="A93" s="222"/>
      <c r="B93" s="344"/>
      <c r="C93" s="345"/>
      <c r="D93" s="345"/>
      <c r="E93" s="345"/>
      <c r="F93" s="345"/>
      <c r="G93" s="345"/>
      <c r="H93" s="345"/>
      <c r="I93" s="345"/>
      <c r="J93" s="345"/>
      <c r="K93" s="345"/>
      <c r="L93" s="345"/>
      <c r="M93" s="346"/>
      <c r="N93" s="223"/>
      <c r="O93" s="223"/>
      <c r="P93" s="224"/>
    </row>
    <row r="94" spans="1:16" x14ac:dyDescent="0.2">
      <c r="A94" s="222"/>
      <c r="B94" s="344"/>
      <c r="C94" s="345"/>
      <c r="D94" s="345"/>
      <c r="E94" s="345"/>
      <c r="F94" s="345"/>
      <c r="G94" s="345"/>
      <c r="H94" s="345"/>
      <c r="I94" s="345"/>
      <c r="J94" s="345"/>
      <c r="K94" s="345"/>
      <c r="L94" s="345"/>
      <c r="M94" s="346"/>
      <c r="N94" s="223"/>
      <c r="O94" s="223"/>
      <c r="P94" s="224"/>
    </row>
    <row r="95" spans="1:16" x14ac:dyDescent="0.2">
      <c r="A95" s="222"/>
      <c r="B95" s="344"/>
      <c r="C95" s="345"/>
      <c r="D95" s="345"/>
      <c r="E95" s="345"/>
      <c r="F95" s="345"/>
      <c r="G95" s="345"/>
      <c r="H95" s="345"/>
      <c r="I95" s="345"/>
      <c r="J95" s="345"/>
      <c r="K95" s="345"/>
      <c r="L95" s="345"/>
      <c r="M95" s="346"/>
      <c r="N95" s="223"/>
      <c r="O95" s="223"/>
      <c r="P95" s="224"/>
    </row>
    <row r="96" spans="1:16" ht="13.5" thickBot="1" x14ac:dyDescent="0.25">
      <c r="A96" s="234"/>
      <c r="B96" s="347"/>
      <c r="C96" s="348"/>
      <c r="D96" s="348"/>
      <c r="E96" s="348"/>
      <c r="F96" s="348"/>
      <c r="G96" s="348"/>
      <c r="H96" s="348"/>
      <c r="I96" s="348"/>
      <c r="J96" s="348"/>
      <c r="K96" s="348"/>
      <c r="L96" s="348"/>
      <c r="M96" s="349"/>
      <c r="N96" s="235"/>
      <c r="O96" s="235"/>
      <c r="P96" s="236"/>
    </row>
    <row r="97" spans="1:16" ht="13.5" thickTop="1" x14ac:dyDescent="0.2">
      <c r="A97" s="218"/>
      <c r="B97" s="218"/>
      <c r="C97" s="218"/>
      <c r="D97" s="218"/>
      <c r="E97" s="218"/>
      <c r="F97" s="218"/>
      <c r="G97" s="218"/>
      <c r="H97" s="218"/>
      <c r="I97" s="218"/>
      <c r="J97" s="218"/>
      <c r="K97" s="218"/>
      <c r="L97" s="218"/>
      <c r="M97" s="218"/>
      <c r="N97" s="218"/>
      <c r="O97" s="218"/>
      <c r="P97" s="218"/>
    </row>
  </sheetData>
  <mergeCells count="3">
    <mergeCell ref="B15:I15"/>
    <mergeCell ref="B34:M96"/>
    <mergeCell ref="B14:D14"/>
  </mergeCells>
  <hyperlinks>
    <hyperlink ref="B15:I15" r:id="rId1" display="LM5069 Datasheet (See &quot;Design-In Procedure&quot;)"/>
    <hyperlink ref="B14" r:id="rId2"/>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R229"/>
  <sheetViews>
    <sheetView tabSelected="1" topLeftCell="A13" zoomScale="85" zoomScaleNormal="85" zoomScaleSheetLayoutView="100" workbookViewId="0">
      <selection activeCell="F41" sqref="F41"/>
    </sheetView>
  </sheetViews>
  <sheetFormatPr baseColWidth="10" defaultColWidth="9.140625" defaultRowHeight="12.75" x14ac:dyDescent="0.2"/>
  <cols>
    <col min="1" max="1" width="0.42578125" customWidth="1"/>
    <col min="2" max="2" width="30" customWidth="1"/>
    <col min="3" max="3" width="15.28515625" customWidth="1"/>
    <col min="4" max="4" width="16.5703125" customWidth="1"/>
    <col min="5" max="5" width="20.7109375" customWidth="1"/>
    <col min="6" max="6" width="15.7109375" customWidth="1"/>
    <col min="7" max="7" width="5.5703125" style="166" customWidth="1"/>
    <col min="8" max="8" width="9.5703125" customWidth="1"/>
    <col min="9" max="9" width="12.7109375" customWidth="1"/>
    <col min="11" max="11" width="10.28515625" customWidth="1"/>
    <col min="12" max="12" width="8.7109375" customWidth="1"/>
    <col min="13" max="13" width="9.7109375" customWidth="1"/>
    <col min="14" max="19" width="0" hidden="1" customWidth="1"/>
    <col min="20" max="20" width="2.7109375" hidden="1" customWidth="1"/>
    <col min="21" max="21" width="3" hidden="1" customWidth="1"/>
    <col min="22" max="22" width="1.28515625" hidden="1" customWidth="1"/>
    <col min="23" max="23" width="3.7109375" hidden="1" customWidth="1"/>
    <col min="24" max="38" width="0" hidden="1" customWidth="1"/>
    <col min="39" max="39" width="11.7109375" customWidth="1"/>
    <col min="40" max="40" width="6.7109375" customWidth="1"/>
    <col min="41" max="41" width="9.28515625" customWidth="1"/>
    <col min="42" max="42" width="12.28515625" customWidth="1"/>
    <col min="43" max="43" width="12" hidden="1" customWidth="1"/>
    <col min="44" max="44" width="13.42578125" customWidth="1"/>
    <col min="45" max="45" width="14.5703125" customWidth="1"/>
    <col min="46" max="46" width="14.7109375" customWidth="1"/>
    <col min="47" max="47" width="11.28515625" customWidth="1"/>
    <col min="48" max="48" width="13" customWidth="1"/>
    <col min="49" max="49" width="13.42578125" customWidth="1"/>
    <col min="50" max="50" width="14.7109375" customWidth="1"/>
    <col min="51" max="51" width="14.28515625" customWidth="1"/>
    <col min="52" max="52" width="12.7109375" customWidth="1"/>
    <col min="53" max="53" width="12.5703125" customWidth="1"/>
    <col min="54" max="54" width="9.7109375" customWidth="1"/>
    <col min="55" max="55" width="12.7109375" customWidth="1"/>
    <col min="56" max="57" width="13.7109375" customWidth="1"/>
    <col min="58" max="59" width="14.42578125" customWidth="1"/>
    <col min="60" max="60" width="15.42578125" customWidth="1"/>
    <col min="61" max="61" width="15.28515625" customWidth="1"/>
    <col min="62" max="62" width="15.7109375" customWidth="1"/>
    <col min="63" max="63" width="12.5703125" customWidth="1"/>
    <col min="64" max="64" width="16.7109375" customWidth="1"/>
    <col min="65" max="65" width="15.42578125" customWidth="1"/>
    <col min="66" max="66" width="14.5703125" customWidth="1"/>
    <col min="67" max="67" width="10" customWidth="1"/>
    <col min="68" max="68" width="6.28515625" customWidth="1"/>
    <col min="69" max="69" width="7.28515625" customWidth="1"/>
    <col min="70" max="70" width="8.28515625" customWidth="1"/>
    <col min="71" max="71" width="4.7109375" customWidth="1"/>
  </cols>
  <sheetData>
    <row r="1" spans="1:43" s="118" customFormat="1" ht="60.75" customHeight="1" x14ac:dyDescent="0.2">
      <c r="A1" s="365" t="s">
        <v>492</v>
      </c>
      <c r="B1" s="366"/>
      <c r="C1" s="366"/>
      <c r="D1" s="366"/>
      <c r="E1" s="366"/>
      <c r="F1" s="366"/>
      <c r="G1" s="366"/>
      <c r="H1" s="366"/>
      <c r="I1" s="366"/>
      <c r="J1" s="366"/>
      <c r="K1" s="366"/>
      <c r="L1" s="366"/>
      <c r="M1" s="366"/>
      <c r="N1" s="42"/>
      <c r="O1" s="42"/>
      <c r="P1" s="42"/>
      <c r="Q1" s="42"/>
      <c r="R1" s="40"/>
      <c r="S1" s="41"/>
      <c r="T1" s="39"/>
      <c r="U1" s="39"/>
      <c r="V1" s="39"/>
      <c r="W1" s="39"/>
      <c r="X1" s="39"/>
      <c r="Y1" s="39"/>
      <c r="Z1" s="39"/>
      <c r="AA1" s="39"/>
      <c r="AB1" s="39"/>
      <c r="AC1" s="39"/>
      <c r="AD1" s="39"/>
      <c r="AE1" s="39"/>
      <c r="AF1" s="39"/>
      <c r="AG1" s="39"/>
      <c r="AH1" s="39"/>
      <c r="AI1" s="39"/>
      <c r="AJ1" s="39"/>
      <c r="AK1" s="39"/>
      <c r="AL1" s="39"/>
      <c r="AM1" s="39"/>
    </row>
    <row r="2" spans="1:43" ht="15.75" x14ac:dyDescent="0.2">
      <c r="A2" s="19"/>
      <c r="B2" s="38" t="s">
        <v>110</v>
      </c>
      <c r="C2" s="19"/>
      <c r="D2" s="19"/>
      <c r="E2" s="19"/>
      <c r="F2" s="20"/>
      <c r="G2" s="20"/>
      <c r="H2" s="19"/>
      <c r="I2" s="19"/>
      <c r="J2" s="19"/>
      <c r="K2" s="19"/>
      <c r="L2" s="364"/>
      <c r="M2" s="364"/>
      <c r="N2" s="19"/>
      <c r="O2" s="19"/>
      <c r="P2" s="19"/>
      <c r="Q2" s="19"/>
      <c r="R2" s="19"/>
      <c r="S2" s="19"/>
      <c r="T2" s="19"/>
      <c r="U2" s="19"/>
      <c r="V2" s="19"/>
      <c r="W2" s="19"/>
      <c r="X2" s="19"/>
      <c r="Y2" s="19"/>
      <c r="Z2" s="19"/>
      <c r="AA2" s="19"/>
      <c r="AB2" s="19"/>
      <c r="AC2" s="19"/>
      <c r="AD2" s="19"/>
      <c r="AE2" s="19"/>
      <c r="AF2" s="19"/>
      <c r="AG2" s="19"/>
      <c r="AH2" s="19"/>
      <c r="AI2" s="19"/>
      <c r="AJ2" s="19"/>
      <c r="AK2" s="19"/>
      <c r="AL2" s="19"/>
      <c r="AM2" s="19"/>
    </row>
    <row r="3" spans="1:43" x14ac:dyDescent="0.2">
      <c r="A3" s="19"/>
      <c r="B3" s="19"/>
      <c r="C3" s="19"/>
      <c r="D3" s="19"/>
      <c r="E3" s="19"/>
      <c r="F3" s="19"/>
      <c r="G3" s="20"/>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row>
    <row r="4" spans="1:43" x14ac:dyDescent="0.2">
      <c r="A4" s="19"/>
      <c r="B4" s="19"/>
      <c r="C4" s="19"/>
      <c r="D4" s="19"/>
      <c r="E4" s="19"/>
      <c r="F4" s="19"/>
      <c r="G4" s="20"/>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row>
    <row r="5" spans="1:43" x14ac:dyDescent="0.2">
      <c r="A5" s="19"/>
      <c r="B5" s="19"/>
      <c r="C5" s="19"/>
      <c r="D5" s="19"/>
      <c r="E5" s="19"/>
      <c r="F5" s="19"/>
      <c r="G5" s="20"/>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row>
    <row r="6" spans="1:43" x14ac:dyDescent="0.2">
      <c r="A6" s="19"/>
      <c r="B6" s="19"/>
      <c r="C6" s="19"/>
      <c r="D6" s="19"/>
      <c r="E6" s="19"/>
      <c r="F6" s="19"/>
      <c r="G6" s="20"/>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row>
    <row r="7" spans="1:43" x14ac:dyDescent="0.2">
      <c r="A7" s="19"/>
      <c r="B7" s="19"/>
      <c r="C7" s="19"/>
      <c r="D7" s="19"/>
      <c r="E7" s="19"/>
      <c r="F7" s="19"/>
      <c r="G7" s="20"/>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row>
    <row r="8" spans="1:43" x14ac:dyDescent="0.2">
      <c r="A8" s="19"/>
      <c r="B8" s="19"/>
      <c r="C8" s="19"/>
      <c r="D8" s="19"/>
      <c r="E8" s="19"/>
      <c r="F8" s="19"/>
      <c r="G8" s="20"/>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row>
    <row r="9" spans="1:43" ht="15" customHeight="1" x14ac:dyDescent="0.2">
      <c r="A9" s="19"/>
      <c r="B9" s="24"/>
      <c r="C9" s="212"/>
      <c r="D9" s="204" t="s">
        <v>402</v>
      </c>
      <c r="E9" s="110"/>
      <c r="F9" s="19"/>
      <c r="G9" s="20"/>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row>
    <row r="10" spans="1:43" ht="15" customHeight="1" x14ac:dyDescent="0.2">
      <c r="A10" s="19"/>
      <c r="B10" s="25"/>
      <c r="C10" s="21"/>
      <c r="D10" s="19" t="s">
        <v>109</v>
      </c>
      <c r="E10" s="111"/>
      <c r="F10" s="19"/>
      <c r="G10" s="20"/>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row>
    <row r="11" spans="1:43" ht="22.9" customHeight="1" x14ac:dyDescent="0.2">
      <c r="A11" s="19"/>
      <c r="B11" s="25"/>
      <c r="C11" s="217"/>
      <c r="D11" s="367" t="s">
        <v>460</v>
      </c>
      <c r="E11" s="368"/>
      <c r="F11" s="19"/>
      <c r="G11" s="20"/>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row>
    <row r="12" spans="1:43" ht="21.6" customHeight="1" x14ac:dyDescent="0.2">
      <c r="A12" s="19"/>
      <c r="B12" s="25"/>
      <c r="C12" s="216"/>
      <c r="D12" s="367"/>
      <c r="E12" s="368"/>
      <c r="F12" s="19"/>
      <c r="G12" s="20"/>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row>
    <row r="13" spans="1:43" ht="15" customHeight="1" thickBot="1" x14ac:dyDescent="0.25">
      <c r="A13" s="19"/>
      <c r="B13" s="19"/>
      <c r="C13" s="19"/>
      <c r="D13" s="19"/>
      <c r="E13" s="19"/>
      <c r="F13" s="31"/>
      <c r="G13" s="20"/>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row>
    <row r="14" spans="1:43" ht="15" customHeight="1" x14ac:dyDescent="0.25">
      <c r="A14" s="19"/>
      <c r="B14" s="315" t="s">
        <v>509</v>
      </c>
      <c r="C14" s="326"/>
      <c r="D14" s="369" t="s">
        <v>510</v>
      </c>
      <c r="E14" s="369"/>
      <c r="F14" s="369"/>
      <c r="G14" s="369"/>
      <c r="H14" s="323"/>
      <c r="I14" s="307"/>
      <c r="J14" s="307"/>
      <c r="K14" s="307"/>
      <c r="L14" s="307"/>
      <c r="M14" s="307"/>
      <c r="N14" s="307"/>
      <c r="O14" s="307"/>
      <c r="P14" s="307"/>
      <c r="Q14" s="307"/>
      <c r="R14" s="307"/>
      <c r="S14" s="307"/>
      <c r="T14" s="307"/>
      <c r="U14" s="307"/>
      <c r="V14" s="307"/>
      <c r="W14" s="307"/>
      <c r="X14" s="307"/>
      <c r="Y14" s="307"/>
      <c r="Z14" s="307"/>
      <c r="AA14" s="307"/>
      <c r="AB14" s="307"/>
      <c r="AC14" s="307"/>
      <c r="AD14" s="307"/>
      <c r="AE14" s="307"/>
      <c r="AF14" s="307"/>
      <c r="AG14" s="307"/>
      <c r="AH14" s="307"/>
      <c r="AI14" s="307"/>
      <c r="AJ14" s="307"/>
      <c r="AK14" s="307"/>
      <c r="AL14" s="307"/>
      <c r="AM14" s="313"/>
    </row>
    <row r="15" spans="1:43" ht="15" customHeight="1" x14ac:dyDescent="0.25">
      <c r="A15" s="19"/>
      <c r="B15" s="316"/>
      <c r="C15" s="325"/>
      <c r="D15" s="370"/>
      <c r="E15" s="370"/>
      <c r="F15" s="370"/>
      <c r="G15" s="370"/>
      <c r="H15" s="324"/>
      <c r="I15" s="305"/>
      <c r="J15" s="305"/>
      <c r="K15" s="305"/>
      <c r="L15" s="305"/>
      <c r="M15" s="305"/>
      <c r="N15" s="305"/>
      <c r="O15" s="305"/>
      <c r="P15" s="305"/>
      <c r="Q15" s="305"/>
      <c r="R15" s="305"/>
      <c r="S15" s="305"/>
      <c r="T15" s="305"/>
      <c r="U15" s="305"/>
      <c r="V15" s="305"/>
      <c r="W15" s="305"/>
      <c r="X15" s="305"/>
      <c r="Y15" s="305"/>
      <c r="Z15" s="305"/>
      <c r="AA15" s="305"/>
      <c r="AB15" s="305"/>
      <c r="AC15" s="305"/>
      <c r="AD15" s="305"/>
      <c r="AE15" s="305"/>
      <c r="AF15" s="305"/>
      <c r="AG15" s="305"/>
      <c r="AH15" s="305"/>
      <c r="AI15" s="305"/>
      <c r="AJ15" s="305"/>
      <c r="AK15" s="305"/>
      <c r="AL15" s="305"/>
      <c r="AM15" s="311"/>
    </row>
    <row r="16" spans="1:43" ht="15" customHeight="1" x14ac:dyDescent="0.2">
      <c r="A16" s="19"/>
      <c r="B16" s="356"/>
      <c r="C16" s="317"/>
      <c r="D16" s="373" t="s">
        <v>511</v>
      </c>
      <c r="E16" s="373"/>
      <c r="F16" s="373"/>
      <c r="G16" s="373"/>
      <c r="H16" s="373"/>
      <c r="I16" s="373"/>
      <c r="J16" s="320"/>
      <c r="K16" s="314"/>
      <c r="L16" s="305"/>
      <c r="M16" s="305"/>
      <c r="N16" s="305"/>
      <c r="O16" s="305"/>
      <c r="P16" s="305"/>
      <c r="Q16" s="305"/>
      <c r="R16" s="305"/>
      <c r="S16" s="305"/>
      <c r="T16" s="305"/>
      <c r="U16" s="305"/>
      <c r="V16" s="305"/>
      <c r="W16" s="305"/>
      <c r="X16" s="305"/>
      <c r="Y16" s="305"/>
      <c r="Z16" s="305"/>
      <c r="AA16" s="305"/>
      <c r="AB16" s="305"/>
      <c r="AC16" s="305"/>
      <c r="AD16" s="305"/>
      <c r="AE16" s="305"/>
      <c r="AF16" s="305"/>
      <c r="AG16" s="305"/>
      <c r="AH16" s="305"/>
      <c r="AI16" s="305"/>
      <c r="AJ16" s="305"/>
      <c r="AK16" s="305"/>
      <c r="AL16" s="305"/>
      <c r="AM16" s="311"/>
      <c r="AQ16" s="33" t="s">
        <v>211</v>
      </c>
    </row>
    <row r="17" spans="1:43" ht="15" customHeight="1" x14ac:dyDescent="0.2">
      <c r="A17" s="19"/>
      <c r="B17" s="356"/>
      <c r="C17" s="317"/>
      <c r="D17" s="373" t="s">
        <v>512</v>
      </c>
      <c r="E17" s="373"/>
      <c r="F17" s="373"/>
      <c r="G17" s="373"/>
      <c r="H17" s="373"/>
      <c r="I17" s="373"/>
      <c r="J17" s="305"/>
      <c r="K17" s="305"/>
      <c r="L17" s="305"/>
      <c r="M17" s="305"/>
      <c r="N17" s="305"/>
      <c r="O17" s="305"/>
      <c r="P17" s="305"/>
      <c r="Q17" s="305"/>
      <c r="R17" s="305"/>
      <c r="S17" s="305"/>
      <c r="T17" s="305"/>
      <c r="U17" s="305"/>
      <c r="V17" s="305"/>
      <c r="W17" s="305"/>
      <c r="X17" s="305"/>
      <c r="Y17" s="305"/>
      <c r="Z17" s="305"/>
      <c r="AA17" s="305"/>
      <c r="AB17" s="305"/>
      <c r="AC17" s="305"/>
      <c r="AD17" s="305"/>
      <c r="AE17" s="305"/>
      <c r="AF17" s="305"/>
      <c r="AG17" s="305"/>
      <c r="AH17" s="305"/>
      <c r="AI17" s="305"/>
      <c r="AJ17" s="305"/>
      <c r="AK17" s="305"/>
      <c r="AL17" s="305"/>
      <c r="AM17" s="311"/>
      <c r="AQ17" s="33" t="s">
        <v>209</v>
      </c>
    </row>
    <row r="18" spans="1:43" ht="15" customHeight="1" x14ac:dyDescent="0.2">
      <c r="A18" s="19"/>
      <c r="B18" s="356"/>
      <c r="C18" s="317"/>
      <c r="D18" s="373" t="s">
        <v>513</v>
      </c>
      <c r="E18" s="373"/>
      <c r="F18" s="373"/>
      <c r="G18" s="373"/>
      <c r="H18" s="373"/>
      <c r="I18" s="373"/>
      <c r="J18" s="305"/>
      <c r="K18" s="305"/>
      <c r="L18" s="305"/>
      <c r="M18" s="305"/>
      <c r="N18" s="305"/>
      <c r="O18" s="305"/>
      <c r="P18" s="305"/>
      <c r="Q18" s="305"/>
      <c r="R18" s="305"/>
      <c r="S18" s="305"/>
      <c r="T18" s="305"/>
      <c r="U18" s="305"/>
      <c r="V18" s="305"/>
      <c r="W18" s="305"/>
      <c r="X18" s="305"/>
      <c r="Y18" s="305"/>
      <c r="Z18" s="305"/>
      <c r="AA18" s="305"/>
      <c r="AB18" s="305"/>
      <c r="AC18" s="305"/>
      <c r="AD18" s="305"/>
      <c r="AE18" s="305"/>
      <c r="AF18" s="305"/>
      <c r="AG18" s="305"/>
      <c r="AH18" s="305"/>
      <c r="AI18" s="305"/>
      <c r="AJ18" s="305"/>
      <c r="AK18" s="305"/>
      <c r="AL18" s="305"/>
      <c r="AM18" s="311"/>
    </row>
    <row r="19" spans="1:43" ht="15" customHeight="1" x14ac:dyDescent="0.2">
      <c r="A19" s="19"/>
      <c r="B19" s="356"/>
      <c r="C19" s="317"/>
      <c r="D19" s="373" t="s">
        <v>514</v>
      </c>
      <c r="E19" s="373"/>
      <c r="F19" s="373"/>
      <c r="G19" s="373"/>
      <c r="H19" s="373"/>
      <c r="I19" s="373"/>
      <c r="J19" s="305"/>
      <c r="K19" s="305"/>
      <c r="L19" s="305"/>
      <c r="M19" s="305"/>
      <c r="N19" s="305"/>
      <c r="O19" s="305"/>
      <c r="P19" s="305"/>
      <c r="Q19" s="305"/>
      <c r="R19" s="305"/>
      <c r="S19" s="305"/>
      <c r="T19" s="305"/>
      <c r="U19" s="305"/>
      <c r="V19" s="305"/>
      <c r="W19" s="305"/>
      <c r="X19" s="305"/>
      <c r="Y19" s="305"/>
      <c r="Z19" s="305"/>
      <c r="AA19" s="305"/>
      <c r="AB19" s="305"/>
      <c r="AC19" s="305"/>
      <c r="AD19" s="305"/>
      <c r="AE19" s="305"/>
      <c r="AF19" s="305"/>
      <c r="AG19" s="305"/>
      <c r="AH19" s="305"/>
      <c r="AI19" s="305"/>
      <c r="AJ19" s="305"/>
      <c r="AK19" s="305"/>
      <c r="AL19" s="305"/>
      <c r="AM19" s="311"/>
    </row>
    <row r="20" spans="1:43" ht="15" customHeight="1" x14ac:dyDescent="0.2">
      <c r="A20" s="19"/>
      <c r="B20" s="321"/>
      <c r="C20" s="317"/>
      <c r="D20" s="337" t="s">
        <v>518</v>
      </c>
      <c r="E20" s="335"/>
      <c r="F20" s="336"/>
      <c r="G20" s="336"/>
      <c r="H20" s="336"/>
      <c r="I20" s="336"/>
      <c r="J20" s="305"/>
      <c r="K20" s="305"/>
      <c r="L20" s="305"/>
      <c r="M20" s="305"/>
      <c r="N20" s="305"/>
      <c r="O20" s="305"/>
      <c r="P20" s="305"/>
      <c r="Q20" s="305"/>
      <c r="R20" s="305"/>
      <c r="S20" s="305"/>
      <c r="T20" s="305"/>
      <c r="U20" s="305"/>
      <c r="V20" s="305"/>
      <c r="W20" s="305"/>
      <c r="X20" s="305"/>
      <c r="Y20" s="305"/>
      <c r="Z20" s="305"/>
      <c r="AA20" s="305"/>
      <c r="AB20" s="305"/>
      <c r="AC20" s="305"/>
      <c r="AD20" s="305"/>
      <c r="AE20" s="305"/>
      <c r="AF20" s="305"/>
      <c r="AG20" s="305"/>
      <c r="AH20" s="305"/>
      <c r="AI20" s="305"/>
      <c r="AJ20" s="305"/>
      <c r="AK20" s="305"/>
      <c r="AL20" s="305"/>
      <c r="AM20" s="311"/>
    </row>
    <row r="21" spans="1:43" ht="15" customHeight="1" thickBot="1" x14ac:dyDescent="0.25">
      <c r="A21" s="19"/>
      <c r="B21" s="308"/>
      <c r="C21" s="305"/>
      <c r="D21" s="305"/>
      <c r="E21" s="306"/>
      <c r="F21" s="305"/>
      <c r="G21" s="305"/>
      <c r="H21" s="305"/>
      <c r="I21" s="305"/>
      <c r="J21" s="305"/>
      <c r="K21" s="305"/>
      <c r="L21" s="305"/>
      <c r="M21" s="305"/>
      <c r="N21" s="305"/>
      <c r="O21" s="305"/>
      <c r="P21" s="305"/>
      <c r="Q21" s="305"/>
      <c r="R21" s="305"/>
      <c r="S21" s="305"/>
      <c r="T21" s="305"/>
      <c r="U21" s="305"/>
      <c r="V21" s="305"/>
      <c r="W21" s="305"/>
      <c r="X21" s="305"/>
      <c r="Y21" s="305"/>
      <c r="Z21" s="305"/>
      <c r="AA21" s="305"/>
      <c r="AB21" s="305"/>
      <c r="AC21" s="305"/>
      <c r="AD21" s="305"/>
      <c r="AE21" s="305"/>
      <c r="AF21" s="305"/>
      <c r="AG21" s="305"/>
      <c r="AH21" s="305"/>
      <c r="AI21" s="305"/>
      <c r="AJ21" s="305"/>
      <c r="AK21" s="305"/>
      <c r="AL21" s="305"/>
      <c r="AM21" s="311"/>
    </row>
    <row r="22" spans="1:43" ht="31.5" customHeight="1" thickBot="1" x14ac:dyDescent="0.25">
      <c r="A22" s="19"/>
      <c r="B22" s="308"/>
      <c r="C22" s="305"/>
      <c r="D22" s="357" t="s">
        <v>515</v>
      </c>
      <c r="E22" s="358"/>
      <c r="F22" s="359"/>
      <c r="G22" s="328" t="s">
        <v>211</v>
      </c>
      <c r="H22" s="305"/>
      <c r="I22" s="305"/>
      <c r="J22" s="305"/>
      <c r="K22" s="305"/>
      <c r="L22" s="305"/>
      <c r="M22" s="305"/>
      <c r="N22" s="305"/>
      <c r="O22" s="305"/>
      <c r="P22" s="305"/>
      <c r="Q22" s="305"/>
      <c r="R22" s="305"/>
      <c r="S22" s="305"/>
      <c r="T22" s="305"/>
      <c r="U22" s="305"/>
      <c r="V22" s="305"/>
      <c r="W22" s="305"/>
      <c r="X22" s="305"/>
      <c r="Y22" s="305"/>
      <c r="Z22" s="305"/>
      <c r="AA22" s="305"/>
      <c r="AB22" s="305"/>
      <c r="AC22" s="305"/>
      <c r="AD22" s="305"/>
      <c r="AE22" s="305"/>
      <c r="AF22" s="305"/>
      <c r="AG22" s="305"/>
      <c r="AH22" s="305"/>
      <c r="AI22" s="305"/>
      <c r="AJ22" s="305"/>
      <c r="AK22" s="305"/>
      <c r="AL22" s="305"/>
      <c r="AM22" s="311"/>
    </row>
    <row r="23" spans="1:43" ht="28.15" customHeight="1" thickBot="1" x14ac:dyDescent="0.3">
      <c r="A23" s="19"/>
      <c r="B23" s="308"/>
      <c r="C23" s="305"/>
      <c r="D23" s="353" t="s">
        <v>516</v>
      </c>
      <c r="E23" s="354"/>
      <c r="F23" s="355"/>
      <c r="G23" s="329" t="s">
        <v>211</v>
      </c>
      <c r="H23" s="305"/>
      <c r="I23" s="305"/>
      <c r="J23" s="305"/>
      <c r="K23" s="305"/>
      <c r="L23" s="305"/>
      <c r="M23" s="305"/>
      <c r="N23" s="305"/>
      <c r="O23" s="305"/>
      <c r="P23" s="305"/>
      <c r="Q23" s="305"/>
      <c r="R23" s="305"/>
      <c r="S23" s="305"/>
      <c r="T23" s="305"/>
      <c r="U23" s="305"/>
      <c r="V23" s="305"/>
      <c r="W23" s="305"/>
      <c r="X23" s="305"/>
      <c r="Y23" s="305"/>
      <c r="Z23" s="305"/>
      <c r="AA23" s="305"/>
      <c r="AB23" s="305"/>
      <c r="AC23" s="305"/>
      <c r="AD23" s="305"/>
      <c r="AE23" s="305"/>
      <c r="AF23" s="305"/>
      <c r="AG23" s="305"/>
      <c r="AH23" s="305"/>
      <c r="AI23" s="305"/>
      <c r="AJ23" s="305"/>
      <c r="AK23" s="305"/>
      <c r="AL23" s="305"/>
      <c r="AM23" s="311"/>
    </row>
    <row r="24" spans="1:43" ht="10.5" customHeight="1" x14ac:dyDescent="0.2">
      <c r="A24" s="19"/>
      <c r="B24" s="308"/>
      <c r="C24" s="305"/>
      <c r="D24" s="360" t="s">
        <v>517</v>
      </c>
      <c r="E24" s="360"/>
      <c r="F24" s="360"/>
      <c r="G24" s="305"/>
      <c r="H24" s="305"/>
      <c r="I24" s="305"/>
      <c r="J24" s="305"/>
      <c r="K24" s="305"/>
      <c r="L24" s="305"/>
      <c r="M24" s="305"/>
      <c r="N24" s="305"/>
      <c r="O24" s="305"/>
      <c r="P24" s="305"/>
      <c r="Q24" s="305"/>
      <c r="R24" s="305"/>
      <c r="S24" s="305"/>
      <c r="T24" s="305"/>
      <c r="U24" s="305"/>
      <c r="V24" s="305"/>
      <c r="W24" s="305"/>
      <c r="X24" s="305"/>
      <c r="Y24" s="305"/>
      <c r="Z24" s="305"/>
      <c r="AA24" s="305"/>
      <c r="AB24" s="305"/>
      <c r="AC24" s="305"/>
      <c r="AD24" s="305"/>
      <c r="AE24" s="305"/>
      <c r="AF24" s="305"/>
      <c r="AG24" s="305"/>
      <c r="AH24" s="305"/>
      <c r="AI24" s="305"/>
      <c r="AJ24" s="305"/>
      <c r="AK24" s="305"/>
      <c r="AL24" s="305"/>
      <c r="AM24" s="311"/>
    </row>
    <row r="25" spans="1:43" ht="15" customHeight="1" x14ac:dyDescent="0.2">
      <c r="A25" s="19"/>
      <c r="B25" s="308"/>
      <c r="C25" s="305"/>
      <c r="D25" s="360"/>
      <c r="E25" s="360"/>
      <c r="F25" s="360"/>
      <c r="G25" s="322"/>
      <c r="H25" s="305"/>
      <c r="I25" s="305"/>
      <c r="J25" s="314"/>
      <c r="K25" s="305"/>
      <c r="L25" s="305"/>
      <c r="M25" s="305"/>
      <c r="N25" s="305"/>
      <c r="O25" s="305"/>
      <c r="P25" s="305"/>
      <c r="Q25" s="305"/>
      <c r="R25" s="305"/>
      <c r="S25" s="305"/>
      <c r="T25" s="305"/>
      <c r="U25" s="305"/>
      <c r="V25" s="305"/>
      <c r="W25" s="305"/>
      <c r="X25" s="305"/>
      <c r="Y25" s="305"/>
      <c r="Z25" s="305"/>
      <c r="AA25" s="305"/>
      <c r="AB25" s="305"/>
      <c r="AC25" s="305"/>
      <c r="AD25" s="305"/>
      <c r="AE25" s="305"/>
      <c r="AF25" s="305"/>
      <c r="AG25" s="305"/>
      <c r="AH25" s="305"/>
      <c r="AI25" s="305"/>
      <c r="AJ25" s="305"/>
      <c r="AK25" s="305"/>
      <c r="AL25" s="305"/>
      <c r="AM25" s="311"/>
    </row>
    <row r="26" spans="1:43" ht="15" customHeight="1" thickBot="1" x14ac:dyDescent="0.25">
      <c r="A26" s="19"/>
      <c r="B26" s="309"/>
      <c r="C26" s="310"/>
      <c r="D26" s="327"/>
      <c r="E26" s="327"/>
      <c r="F26" s="327"/>
      <c r="G26" s="318"/>
      <c r="H26" s="310"/>
      <c r="I26" s="310"/>
      <c r="J26" s="319"/>
      <c r="K26" s="310"/>
      <c r="L26" s="310"/>
      <c r="M26" s="310"/>
      <c r="N26" s="310"/>
      <c r="O26" s="310"/>
      <c r="P26" s="310"/>
      <c r="Q26" s="310"/>
      <c r="R26" s="310"/>
      <c r="S26" s="310"/>
      <c r="T26" s="310"/>
      <c r="U26" s="310"/>
      <c r="V26" s="310"/>
      <c r="W26" s="310"/>
      <c r="X26" s="310"/>
      <c r="Y26" s="310"/>
      <c r="Z26" s="310"/>
      <c r="AA26" s="310"/>
      <c r="AB26" s="310"/>
      <c r="AC26" s="310"/>
      <c r="AD26" s="310"/>
      <c r="AE26" s="310"/>
      <c r="AF26" s="310"/>
      <c r="AG26" s="310"/>
      <c r="AH26" s="310"/>
      <c r="AI26" s="310"/>
      <c r="AJ26" s="310"/>
      <c r="AK26" s="310"/>
      <c r="AL26" s="310"/>
      <c r="AM26" s="312"/>
    </row>
    <row r="27" spans="1:43" ht="15" customHeight="1" x14ac:dyDescent="0.25">
      <c r="A27" s="19"/>
      <c r="B27" s="150" t="s">
        <v>162</v>
      </c>
      <c r="C27" s="83"/>
      <c r="D27" s="83"/>
      <c r="E27" s="84" t="s">
        <v>121</v>
      </c>
      <c r="F27" s="201">
        <v>11</v>
      </c>
      <c r="G27" s="177" t="s">
        <v>92</v>
      </c>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c r="AL27" s="83"/>
      <c r="AM27" s="119"/>
    </row>
    <row r="28" spans="1:43" ht="15" customHeight="1" x14ac:dyDescent="0.25">
      <c r="A28" s="19"/>
      <c r="B28" s="85"/>
      <c r="C28" s="23"/>
      <c r="D28" s="23"/>
      <c r="E28" s="67" t="s">
        <v>132</v>
      </c>
      <c r="F28" s="202">
        <v>12</v>
      </c>
      <c r="G28" s="178" t="s">
        <v>92</v>
      </c>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98"/>
    </row>
    <row r="29" spans="1:43" ht="15" customHeight="1" x14ac:dyDescent="0.2">
      <c r="A29" s="19"/>
      <c r="B29" s="86"/>
      <c r="C29" s="23"/>
      <c r="D29" s="23"/>
      <c r="E29" s="67" t="s">
        <v>122</v>
      </c>
      <c r="F29" s="202">
        <v>13</v>
      </c>
      <c r="G29" s="178" t="s">
        <v>92</v>
      </c>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98"/>
    </row>
    <row r="30" spans="1:43" ht="15" customHeight="1" x14ac:dyDescent="0.2">
      <c r="A30" s="19"/>
      <c r="B30" s="86"/>
      <c r="C30" s="23"/>
      <c r="D30" s="23"/>
      <c r="E30" s="67" t="s">
        <v>134</v>
      </c>
      <c r="F30" s="202">
        <v>6.5</v>
      </c>
      <c r="G30" s="178" t="s">
        <v>28</v>
      </c>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98"/>
    </row>
    <row r="31" spans="1:43" ht="15" customHeight="1" x14ac:dyDescent="0.2">
      <c r="A31" s="19"/>
      <c r="B31" s="86"/>
      <c r="C31" s="23"/>
      <c r="D31" s="23"/>
      <c r="E31" s="67" t="s">
        <v>256</v>
      </c>
      <c r="F31" s="202">
        <v>100</v>
      </c>
      <c r="G31" s="179" t="s">
        <v>89</v>
      </c>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98"/>
    </row>
    <row r="32" spans="1:43" ht="15" customHeight="1" x14ac:dyDescent="0.2">
      <c r="A32" s="19"/>
      <c r="B32" s="86"/>
      <c r="C32" s="23"/>
      <c r="D32" s="23"/>
      <c r="E32" s="67" t="s">
        <v>133</v>
      </c>
      <c r="F32" s="330">
        <v>70</v>
      </c>
      <c r="G32" s="178" t="s">
        <v>138</v>
      </c>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98"/>
    </row>
    <row r="33" spans="1:40" ht="15" customHeight="1" x14ac:dyDescent="0.2">
      <c r="A33" s="19"/>
      <c r="B33" s="361" t="s">
        <v>519</v>
      </c>
      <c r="C33" s="23"/>
      <c r="D33" s="23"/>
      <c r="E33" s="67"/>
      <c r="F33" s="330"/>
      <c r="G33" s="178"/>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98"/>
    </row>
    <row r="34" spans="1:40" ht="15" customHeight="1" x14ac:dyDescent="0.2">
      <c r="A34" s="19"/>
      <c r="B34" s="361"/>
      <c r="C34" s="23"/>
      <c r="D34" s="23"/>
      <c r="E34" s="67"/>
      <c r="F34" s="330"/>
      <c r="G34" s="178"/>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98"/>
    </row>
    <row r="35" spans="1:40" ht="15" customHeight="1" x14ac:dyDescent="0.2">
      <c r="A35" s="19"/>
      <c r="B35" s="86"/>
      <c r="C35" s="23"/>
      <c r="D35" s="23"/>
      <c r="E35" s="67"/>
      <c r="F35" s="330"/>
      <c r="G35" s="178"/>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98"/>
    </row>
    <row r="36" spans="1:40" ht="15" customHeight="1" thickBot="1" x14ac:dyDescent="0.25">
      <c r="A36" s="19"/>
      <c r="B36" s="87"/>
      <c r="C36" s="88"/>
      <c r="D36" s="88"/>
      <c r="E36" s="89"/>
      <c r="F36" s="203"/>
      <c r="G36" s="180"/>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102"/>
    </row>
    <row r="37" spans="1:40" ht="15" customHeight="1" x14ac:dyDescent="0.25">
      <c r="A37" s="19"/>
      <c r="B37" s="150" t="s">
        <v>247</v>
      </c>
      <c r="C37" s="132"/>
      <c r="D37" s="83"/>
      <c r="E37" s="84" t="s">
        <v>294</v>
      </c>
      <c r="F37" s="205" t="s">
        <v>88</v>
      </c>
      <c r="G37" s="181"/>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119"/>
      <c r="AN37" s="33" t="s">
        <v>88</v>
      </c>
    </row>
    <row r="38" spans="1:40" ht="15" customHeight="1" x14ac:dyDescent="0.2">
      <c r="A38" s="19"/>
      <c r="B38" s="90"/>
      <c r="C38" s="23"/>
      <c r="D38" s="23"/>
      <c r="E38" s="67" t="s">
        <v>296</v>
      </c>
      <c r="F38" s="62">
        <f>Equations!F20</f>
        <v>3.5034272658035031</v>
      </c>
      <c r="G38" s="178" t="s">
        <v>91</v>
      </c>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98"/>
      <c r="AN38" s="33" t="s">
        <v>364</v>
      </c>
    </row>
    <row r="39" spans="1:40" ht="15" customHeight="1" x14ac:dyDescent="0.2">
      <c r="A39" s="19"/>
      <c r="B39" s="86"/>
      <c r="C39" s="23"/>
      <c r="D39" s="23"/>
      <c r="E39" s="67" t="s">
        <v>214</v>
      </c>
      <c r="F39" s="206" t="s">
        <v>209</v>
      </c>
      <c r="G39" s="178"/>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98"/>
      <c r="AN39" s="33" t="s">
        <v>211</v>
      </c>
    </row>
    <row r="40" spans="1:40" ht="15" customHeight="1" x14ac:dyDescent="0.2">
      <c r="A40" s="19"/>
      <c r="B40" s="86"/>
      <c r="C40" s="23"/>
      <c r="D40" s="23"/>
      <c r="E40" s="67" t="s">
        <v>115</v>
      </c>
      <c r="F40" s="207">
        <v>1.5</v>
      </c>
      <c r="G40" s="178" t="s">
        <v>91</v>
      </c>
      <c r="H40" s="120"/>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98"/>
      <c r="AN40" s="33" t="s">
        <v>209</v>
      </c>
    </row>
    <row r="41" spans="1:40" ht="15" customHeight="1" x14ac:dyDescent="0.2">
      <c r="A41" s="19"/>
      <c r="B41" s="86"/>
      <c r="C41" s="23"/>
      <c r="D41" s="23"/>
      <c r="E41" s="67" t="s">
        <v>217</v>
      </c>
      <c r="F41" s="95" t="str">
        <f>Equations!F21</f>
        <v>NA</v>
      </c>
      <c r="G41" s="182" t="s">
        <v>93</v>
      </c>
      <c r="H41" s="21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98"/>
    </row>
    <row r="42" spans="1:40" ht="15" customHeight="1" x14ac:dyDescent="0.2">
      <c r="A42" s="19"/>
      <c r="B42" s="86"/>
      <c r="C42" s="23"/>
      <c r="D42" s="23"/>
      <c r="E42" s="67" t="s">
        <v>218</v>
      </c>
      <c r="F42" s="94" t="str">
        <f>Equations!F22</f>
        <v>NA</v>
      </c>
      <c r="G42" s="182" t="s">
        <v>93</v>
      </c>
      <c r="H42" s="21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98"/>
    </row>
    <row r="43" spans="1:40" ht="15" customHeight="1" x14ac:dyDescent="0.2">
      <c r="A43" s="19"/>
      <c r="B43" s="362" t="s">
        <v>519</v>
      </c>
      <c r="C43" s="23"/>
      <c r="D43" s="23"/>
      <c r="E43" s="67" t="s">
        <v>219</v>
      </c>
      <c r="F43" s="206"/>
      <c r="G43" s="182" t="s">
        <v>93</v>
      </c>
      <c r="H43" s="213"/>
      <c r="I43" s="23"/>
      <c r="J43" s="120"/>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98"/>
      <c r="AN43" t="b">
        <f>AND(F39="No")</f>
        <v>1</v>
      </c>
    </row>
    <row r="44" spans="1:40" ht="15" customHeight="1" x14ac:dyDescent="0.2">
      <c r="A44" s="19"/>
      <c r="B44" s="362"/>
      <c r="C44" s="23"/>
      <c r="D44" s="23"/>
      <c r="E44" s="67" t="s">
        <v>220</v>
      </c>
      <c r="F44" s="206"/>
      <c r="G44" s="182" t="s">
        <v>93</v>
      </c>
      <c r="H44" s="21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98"/>
    </row>
    <row r="45" spans="1:40" ht="15" customHeight="1" x14ac:dyDescent="0.2">
      <c r="A45" s="19"/>
      <c r="B45" s="362"/>
      <c r="C45" s="23"/>
      <c r="D45" s="23"/>
      <c r="E45" s="67" t="s">
        <v>295</v>
      </c>
      <c r="F45" s="94">
        <f>RsEFF</f>
        <v>1.5</v>
      </c>
      <c r="G45" s="178" t="s">
        <v>91</v>
      </c>
      <c r="H45" s="21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98"/>
    </row>
    <row r="46" spans="1:40" ht="15" customHeight="1" x14ac:dyDescent="0.2">
      <c r="A46" s="19"/>
      <c r="B46" s="86"/>
      <c r="C46" s="23"/>
      <c r="D46" s="113"/>
      <c r="E46" s="114" t="s">
        <v>105</v>
      </c>
      <c r="F46" s="65">
        <f>CLMIN</f>
        <v>15.333333333333334</v>
      </c>
      <c r="G46" s="178" t="s">
        <v>28</v>
      </c>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98"/>
    </row>
    <row r="47" spans="1:40" ht="15" customHeight="1" x14ac:dyDescent="0.2">
      <c r="A47" s="19"/>
      <c r="B47" s="86"/>
      <c r="C47" s="23"/>
      <c r="D47" s="115"/>
      <c r="E47" s="116" t="s">
        <v>106</v>
      </c>
      <c r="F47" s="65">
        <f>CLNOM</f>
        <v>16.666666666666668</v>
      </c>
      <c r="G47" s="178" t="s">
        <v>28</v>
      </c>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98"/>
    </row>
    <row r="48" spans="1:40" ht="15" customHeight="1" x14ac:dyDescent="0.2">
      <c r="A48" s="19"/>
      <c r="B48" s="86"/>
      <c r="C48" s="23"/>
      <c r="D48" s="147"/>
      <c r="E48" s="148" t="s">
        <v>107</v>
      </c>
      <c r="F48" s="65">
        <f>CLMAX</f>
        <v>18</v>
      </c>
      <c r="G48" s="178" t="s">
        <v>28</v>
      </c>
      <c r="H48" s="23"/>
      <c r="I48" s="9"/>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98"/>
      <c r="AN48" s="33" t="s">
        <v>273</v>
      </c>
    </row>
    <row r="49" spans="1:44" ht="15" customHeight="1" x14ac:dyDescent="0.2">
      <c r="A49" s="19"/>
      <c r="B49" s="86"/>
      <c r="C49" s="23"/>
      <c r="D49" s="23"/>
      <c r="E49" s="67" t="s">
        <v>123</v>
      </c>
      <c r="F49" s="48">
        <f>Equations!F27/1000</f>
        <v>0.48599999999999999</v>
      </c>
      <c r="G49" s="178" t="s">
        <v>93</v>
      </c>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98"/>
      <c r="AN49" s="33" t="s">
        <v>274</v>
      </c>
    </row>
    <row r="50" spans="1:44" ht="15" customHeight="1" x14ac:dyDescent="0.2">
      <c r="A50" s="19"/>
      <c r="B50" s="86"/>
      <c r="C50" s="23"/>
      <c r="D50" s="23"/>
      <c r="E50" s="67" t="s">
        <v>272</v>
      </c>
      <c r="F50" s="298" t="s">
        <v>273</v>
      </c>
      <c r="G50" s="178"/>
      <c r="H50" s="120"/>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98"/>
      <c r="AN50" s="33" t="s">
        <v>251</v>
      </c>
    </row>
    <row r="51" spans="1:44" ht="15" customHeight="1" thickBot="1" x14ac:dyDescent="0.25">
      <c r="A51" s="19"/>
      <c r="B51" s="87"/>
      <c r="C51" s="88"/>
      <c r="D51" s="88"/>
      <c r="E51" s="129" t="s">
        <v>248</v>
      </c>
      <c r="F51" s="299" t="s">
        <v>251</v>
      </c>
      <c r="G51" s="180"/>
      <c r="H51" s="88"/>
      <c r="I51" s="88"/>
      <c r="J51" s="88"/>
      <c r="K51" s="88"/>
      <c r="L51" s="88"/>
      <c r="M51" s="88"/>
      <c r="N51" s="88"/>
      <c r="O51" s="88"/>
      <c r="P51" s="88"/>
      <c r="Q51" s="88"/>
      <c r="R51" s="88"/>
      <c r="S51" s="88"/>
      <c r="T51" s="88"/>
      <c r="U51" s="88"/>
      <c r="V51" s="88"/>
      <c r="W51" s="88"/>
      <c r="X51" s="88"/>
      <c r="Y51" s="88"/>
      <c r="Z51" s="88"/>
      <c r="AA51" s="88"/>
      <c r="AB51" s="88"/>
      <c r="AC51" s="88"/>
      <c r="AD51" s="88"/>
      <c r="AE51" s="88"/>
      <c r="AF51" s="88"/>
      <c r="AG51" s="88"/>
      <c r="AH51" s="88"/>
      <c r="AI51" s="88"/>
      <c r="AJ51" s="88"/>
      <c r="AK51" s="88"/>
      <c r="AL51" s="88"/>
      <c r="AM51" s="102"/>
      <c r="AN51" s="33" t="s">
        <v>250</v>
      </c>
    </row>
    <row r="52" spans="1:44" ht="15" x14ac:dyDescent="0.25">
      <c r="A52" s="19"/>
      <c r="B52" s="150" t="s">
        <v>135</v>
      </c>
      <c r="C52" s="83"/>
      <c r="D52" s="83"/>
      <c r="E52" s="91" t="s">
        <v>480</v>
      </c>
      <c r="F52" s="205" t="s">
        <v>522</v>
      </c>
      <c r="G52" s="1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119"/>
    </row>
    <row r="53" spans="1:44" ht="15.75" x14ac:dyDescent="0.3">
      <c r="A53" s="19"/>
      <c r="B53" s="86"/>
      <c r="C53" s="23"/>
      <c r="D53" s="23"/>
      <c r="E53" s="37" t="s">
        <v>291</v>
      </c>
      <c r="F53" s="339">
        <v>30</v>
      </c>
      <c r="G53" s="178" t="s">
        <v>139</v>
      </c>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98"/>
      <c r="AN53">
        <f>((((TJMAX-TAMB)/ThetaJA)/(CLMAX^2))*1000)*NUMFETS^2</f>
        <v>10.802469135802468</v>
      </c>
      <c r="AO53">
        <f>((TJMAX-TAMB)/ThetaJA)</f>
        <v>3.5</v>
      </c>
    </row>
    <row r="54" spans="1:44" x14ac:dyDescent="0.2">
      <c r="A54" s="19"/>
      <c r="B54" s="86"/>
      <c r="C54" s="23"/>
      <c r="D54" s="23"/>
      <c r="E54" s="37" t="s">
        <v>136</v>
      </c>
      <c r="F54" s="207">
        <v>1</v>
      </c>
      <c r="G54" s="178" t="s">
        <v>137</v>
      </c>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98"/>
      <c r="AN54" s="27" t="s">
        <v>292</v>
      </c>
    </row>
    <row r="55" spans="1:44" ht="15.75" x14ac:dyDescent="0.3">
      <c r="A55" s="19"/>
      <c r="B55" s="86"/>
      <c r="C55" s="23"/>
      <c r="D55" s="23"/>
      <c r="E55" s="37" t="s">
        <v>298</v>
      </c>
      <c r="F55" s="207">
        <v>4</v>
      </c>
      <c r="G55" s="178" t="s">
        <v>91</v>
      </c>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98"/>
      <c r="AN55" s="33">
        <f>F55</f>
        <v>4</v>
      </c>
    </row>
    <row r="56" spans="1:44" ht="14.25" x14ac:dyDescent="0.2">
      <c r="A56" s="19"/>
      <c r="B56" s="86"/>
      <c r="C56" s="23"/>
      <c r="D56" s="23"/>
      <c r="E56" s="37" t="s">
        <v>140</v>
      </c>
      <c r="F56" s="207">
        <v>175</v>
      </c>
      <c r="G56" s="178" t="s">
        <v>201</v>
      </c>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98"/>
      <c r="AN56" s="33">
        <f t="shared" ref="AN56:AN61" si="0">F56</f>
        <v>175</v>
      </c>
    </row>
    <row r="57" spans="1:44" ht="15.75" x14ac:dyDescent="0.3">
      <c r="A57" s="19"/>
      <c r="B57" s="331"/>
      <c r="C57" s="23"/>
      <c r="D57" s="23"/>
      <c r="E57" s="37" t="s">
        <v>411</v>
      </c>
      <c r="F57" s="207">
        <v>300</v>
      </c>
      <c r="G57" s="178" t="s">
        <v>28</v>
      </c>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98"/>
      <c r="AN57" s="33">
        <f t="shared" si="0"/>
        <v>300</v>
      </c>
    </row>
    <row r="58" spans="1:44" ht="15.75" x14ac:dyDescent="0.3">
      <c r="A58" s="19"/>
      <c r="B58" s="331"/>
      <c r="C58" s="23"/>
      <c r="D58" s="23"/>
      <c r="E58" s="37" t="s">
        <v>412</v>
      </c>
      <c r="F58" s="207">
        <v>80</v>
      </c>
      <c r="G58" s="178" t="s">
        <v>28</v>
      </c>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98"/>
      <c r="AN58" s="33">
        <f t="shared" si="0"/>
        <v>80</v>
      </c>
    </row>
    <row r="59" spans="1:44" ht="15.75" x14ac:dyDescent="0.3">
      <c r="A59" s="19"/>
      <c r="B59" s="334" t="s">
        <v>135</v>
      </c>
      <c r="C59" s="23"/>
      <c r="D59" s="23"/>
      <c r="E59" s="37" t="s">
        <v>413</v>
      </c>
      <c r="F59" s="207">
        <v>30</v>
      </c>
      <c r="G59" s="178" t="s">
        <v>28</v>
      </c>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98"/>
      <c r="AN59" s="33">
        <f t="shared" si="0"/>
        <v>30</v>
      </c>
      <c r="AR59" s="363"/>
    </row>
    <row r="60" spans="1:44" ht="15.75" x14ac:dyDescent="0.3">
      <c r="A60" s="19"/>
      <c r="B60" s="331"/>
      <c r="C60" s="23"/>
      <c r="D60" s="23"/>
      <c r="E60" s="37" t="s">
        <v>414</v>
      </c>
      <c r="F60" s="207">
        <v>20</v>
      </c>
      <c r="G60" s="178" t="s">
        <v>28</v>
      </c>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98"/>
      <c r="AN60" s="33">
        <f t="shared" si="0"/>
        <v>20</v>
      </c>
      <c r="AR60" s="363"/>
    </row>
    <row r="61" spans="1:44" ht="15.75" x14ac:dyDescent="0.3">
      <c r="A61" s="19"/>
      <c r="B61" s="331"/>
      <c r="C61" s="23"/>
      <c r="D61" s="23"/>
      <c r="E61" s="37" t="s">
        <v>415</v>
      </c>
      <c r="F61" s="207">
        <v>10</v>
      </c>
      <c r="G61" s="178" t="s">
        <v>28</v>
      </c>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98"/>
      <c r="AN61" s="33">
        <f t="shared" si="0"/>
        <v>10</v>
      </c>
      <c r="AR61" s="363"/>
    </row>
    <row r="62" spans="1:44" ht="15" customHeight="1" x14ac:dyDescent="0.2">
      <c r="A62" s="19"/>
      <c r="B62" s="363" t="s">
        <v>479</v>
      </c>
      <c r="C62" s="23"/>
      <c r="D62" s="23"/>
      <c r="E62" s="37" t="s">
        <v>359</v>
      </c>
      <c r="F62" s="171">
        <f>(IOUTMAX/NUMFETS)^2*RDSON/1000</f>
        <v>0.16900000000000001</v>
      </c>
      <c r="G62" s="178" t="s">
        <v>93</v>
      </c>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98"/>
      <c r="AR62" s="363"/>
    </row>
    <row r="63" spans="1:44" ht="15" customHeight="1" x14ac:dyDescent="0.3">
      <c r="A63" s="19"/>
      <c r="B63" s="363"/>
      <c r="C63" s="23"/>
      <c r="D63" s="23"/>
      <c r="E63" s="37" t="s">
        <v>297</v>
      </c>
      <c r="F63" s="171">
        <f>TAMB+(FETPDISS*ThetaJA)</f>
        <v>75.069999999999993</v>
      </c>
      <c r="G63" s="178" t="s">
        <v>138</v>
      </c>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98"/>
      <c r="AR63" s="363"/>
    </row>
    <row r="64" spans="1:44" ht="15" customHeight="1" x14ac:dyDescent="0.2">
      <c r="A64" s="19"/>
      <c r="B64" s="363"/>
      <c r="C64" s="23"/>
      <c r="D64" s="23"/>
      <c r="E64" s="67" t="s">
        <v>501</v>
      </c>
      <c r="F64" s="171">
        <f>Equations!F38</f>
        <v>34.666666666666671</v>
      </c>
      <c r="G64" s="178" t="s">
        <v>93</v>
      </c>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98"/>
      <c r="AR64" s="363"/>
    </row>
    <row r="65" spans="1:44" ht="15" customHeight="1" x14ac:dyDescent="0.2">
      <c r="A65" s="19"/>
      <c r="B65" s="363"/>
      <c r="C65" s="23"/>
      <c r="D65" s="23"/>
      <c r="E65" s="67" t="s">
        <v>315</v>
      </c>
      <c r="F65" s="208">
        <v>70</v>
      </c>
      <c r="G65" s="178" t="s">
        <v>93</v>
      </c>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98"/>
      <c r="AR65" s="363"/>
    </row>
    <row r="66" spans="1:44" ht="15" customHeight="1" x14ac:dyDescent="0.2">
      <c r="A66" s="19"/>
      <c r="B66" s="363"/>
      <c r="C66" s="23"/>
      <c r="D66" s="23"/>
      <c r="E66" s="67" t="s">
        <v>316</v>
      </c>
      <c r="F66" s="146">
        <f>Equations!F40</f>
        <v>15.073799999999997</v>
      </c>
      <c r="G66" s="184" t="s">
        <v>90</v>
      </c>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98"/>
    </row>
    <row r="67" spans="1:44" ht="15" customHeight="1" x14ac:dyDescent="0.2">
      <c r="A67" s="19"/>
      <c r="B67" s="363"/>
      <c r="C67" s="23"/>
      <c r="D67" s="23"/>
      <c r="E67" s="67" t="s">
        <v>319</v>
      </c>
      <c r="F67" s="207">
        <v>49.9</v>
      </c>
      <c r="G67" s="184" t="s">
        <v>90</v>
      </c>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98"/>
    </row>
    <row r="68" spans="1:44" ht="24" customHeight="1" thickBot="1" x14ac:dyDescent="0.25">
      <c r="A68" s="19"/>
      <c r="B68" s="363"/>
      <c r="C68" s="23"/>
      <c r="D68" s="23"/>
      <c r="E68" s="67" t="s">
        <v>322</v>
      </c>
      <c r="F68" s="146">
        <f>Equations!F42</f>
        <v>189.67766323024051</v>
      </c>
      <c r="G68" s="178" t="s">
        <v>93</v>
      </c>
      <c r="H68" s="23"/>
      <c r="I68" s="371" t="s">
        <v>520</v>
      </c>
      <c r="J68" s="372"/>
      <c r="K68" s="372"/>
      <c r="L68" s="372"/>
      <c r="M68" s="372"/>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98"/>
    </row>
    <row r="69" spans="1:44" ht="15" x14ac:dyDescent="0.25">
      <c r="A69" s="19"/>
      <c r="B69" s="150" t="s">
        <v>146</v>
      </c>
      <c r="C69" s="83"/>
      <c r="D69" s="83"/>
      <c r="E69" s="91" t="s">
        <v>204</v>
      </c>
      <c r="F69" s="209">
        <v>12</v>
      </c>
      <c r="G69" s="183" t="s">
        <v>92</v>
      </c>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119"/>
      <c r="AN69" s="33"/>
    </row>
    <row r="70" spans="1:44" x14ac:dyDescent="0.2">
      <c r="A70" s="19"/>
      <c r="B70" s="92"/>
      <c r="C70" s="23"/>
      <c r="D70" s="23"/>
      <c r="E70" s="37" t="s">
        <v>147</v>
      </c>
      <c r="F70" s="207" t="s">
        <v>149</v>
      </c>
      <c r="G70" s="179"/>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98"/>
      <c r="AN70" s="33"/>
    </row>
    <row r="71" spans="1:44" x14ac:dyDescent="0.2">
      <c r="A71" s="19"/>
      <c r="B71" s="86"/>
      <c r="C71" s="23"/>
      <c r="D71" s="23"/>
      <c r="E71" s="37" t="s">
        <v>148</v>
      </c>
      <c r="F71" s="207">
        <v>6</v>
      </c>
      <c r="G71" s="179" t="str">
        <f>IF(F70="Constant Current","A","Ohms")</f>
        <v>A</v>
      </c>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98"/>
      <c r="AN71" t="s">
        <v>149</v>
      </c>
    </row>
    <row r="72" spans="1:44" x14ac:dyDescent="0.2">
      <c r="A72" s="19"/>
      <c r="B72" s="86"/>
      <c r="C72" s="23"/>
      <c r="D72" s="23"/>
      <c r="E72" s="67" t="s">
        <v>210</v>
      </c>
      <c r="F72" s="206" t="s">
        <v>209</v>
      </c>
      <c r="G72" s="179"/>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98"/>
      <c r="AN72" t="s">
        <v>150</v>
      </c>
    </row>
    <row r="73" spans="1:44" x14ac:dyDescent="0.2">
      <c r="A73" s="19"/>
      <c r="B73" s="86"/>
      <c r="C73" s="23"/>
      <c r="D73" s="23"/>
      <c r="E73" s="37" t="s">
        <v>338</v>
      </c>
      <c r="F73" s="56">
        <f>Start_up!M2</f>
        <v>8.2501902601132535E-2</v>
      </c>
      <c r="G73" s="178" t="s">
        <v>8</v>
      </c>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98"/>
      <c r="AN73" s="33"/>
    </row>
    <row r="74" spans="1:44" x14ac:dyDescent="0.2">
      <c r="A74" s="19"/>
      <c r="B74" s="86"/>
      <c r="C74" s="23"/>
      <c r="D74" s="23"/>
      <c r="E74" s="37" t="s">
        <v>345</v>
      </c>
      <c r="F74" s="167">
        <f>Start_up!O2</f>
        <v>0.64</v>
      </c>
      <c r="G74" s="178"/>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98"/>
      <c r="AN74" s="33"/>
    </row>
    <row r="75" spans="1:44" ht="13.15" customHeight="1" x14ac:dyDescent="0.2">
      <c r="A75" s="19"/>
      <c r="B75" s="92"/>
      <c r="C75" s="23"/>
      <c r="D75" s="109"/>
      <c r="E75" s="174" t="s">
        <v>339</v>
      </c>
      <c r="F75" s="56">
        <f>Equations!F55</f>
        <v>0.14437832955198193</v>
      </c>
      <c r="G75" s="179" t="s">
        <v>8</v>
      </c>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98"/>
    </row>
    <row r="76" spans="1:44" ht="12.6" customHeight="1" x14ac:dyDescent="0.2">
      <c r="A76" s="19"/>
      <c r="B76" s="86"/>
      <c r="C76" s="23"/>
      <c r="D76" s="109"/>
      <c r="E76" s="175" t="s">
        <v>343</v>
      </c>
      <c r="F76" s="56">
        <f>Equations!F56</f>
        <v>7.6435586233402208</v>
      </c>
      <c r="G76" s="178" t="s">
        <v>131</v>
      </c>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98"/>
    </row>
    <row r="77" spans="1:44" ht="15" customHeight="1" x14ac:dyDescent="0.2">
      <c r="A77" s="19"/>
      <c r="B77" s="86"/>
      <c r="C77" s="23"/>
      <c r="D77" s="109"/>
      <c r="E77" s="175" t="s">
        <v>346</v>
      </c>
      <c r="F77" s="207">
        <v>100</v>
      </c>
      <c r="G77" s="178" t="s">
        <v>131</v>
      </c>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98"/>
    </row>
    <row r="78" spans="1:44" ht="15" customHeight="1" x14ac:dyDescent="0.2">
      <c r="A78" s="19"/>
      <c r="B78" s="333" t="s">
        <v>146</v>
      </c>
      <c r="C78" s="23"/>
      <c r="D78" s="109"/>
      <c r="E78" s="175" t="s">
        <v>399</v>
      </c>
      <c r="F78" s="56">
        <f>Equations!F58</f>
        <v>1.8888888888888888</v>
      </c>
      <c r="G78" s="178" t="s">
        <v>8</v>
      </c>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98"/>
    </row>
    <row r="79" spans="1:44" ht="15" customHeight="1" x14ac:dyDescent="0.2">
      <c r="A79" s="19"/>
      <c r="B79" s="86"/>
      <c r="C79" s="23"/>
      <c r="D79" s="109"/>
      <c r="E79" s="175" t="s">
        <v>354</v>
      </c>
      <c r="F79" s="56">
        <f>Equations!F59</f>
        <v>2.7859061487957568</v>
      </c>
      <c r="G79" s="178"/>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98"/>
    </row>
    <row r="80" spans="1:44" ht="15" customHeight="1" x14ac:dyDescent="0.2">
      <c r="A80" s="19"/>
      <c r="B80" s="86"/>
      <c r="C80" s="23"/>
      <c r="D80" s="109"/>
      <c r="E80" s="175" t="s">
        <v>404</v>
      </c>
      <c r="F80" s="206" t="s">
        <v>211</v>
      </c>
      <c r="G80" s="178"/>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98"/>
    </row>
    <row r="81" spans="1:42" ht="15" customHeight="1" x14ac:dyDescent="0.2">
      <c r="A81" s="19"/>
      <c r="B81" s="86"/>
      <c r="C81" s="23"/>
      <c r="D81" s="109"/>
      <c r="E81" s="175" t="s">
        <v>409</v>
      </c>
      <c r="F81" s="56">
        <f>dv_dt_recommendations!J28</f>
        <v>13.662394164676858</v>
      </c>
      <c r="G81" s="178" t="s">
        <v>362</v>
      </c>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98"/>
    </row>
    <row r="82" spans="1:42" ht="15" customHeight="1" x14ac:dyDescent="0.2">
      <c r="A82" s="19"/>
      <c r="B82" s="86"/>
      <c r="C82" s="23"/>
      <c r="D82" s="109"/>
      <c r="E82" s="175" t="s">
        <v>410</v>
      </c>
      <c r="F82" s="56">
        <f>dv_dt_recommendations!J29</f>
        <v>5.2699401826768279E-2</v>
      </c>
      <c r="G82" s="178" t="s">
        <v>362</v>
      </c>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98"/>
    </row>
    <row r="83" spans="1:42" ht="15" customHeight="1" x14ac:dyDescent="0.2">
      <c r="A83" s="19"/>
      <c r="B83" s="351" t="s">
        <v>493</v>
      </c>
      <c r="C83" s="352"/>
      <c r="D83" s="109"/>
      <c r="E83" s="34" t="s">
        <v>396</v>
      </c>
      <c r="F83" s="207">
        <v>4</v>
      </c>
      <c r="G83" s="178" t="s">
        <v>362</v>
      </c>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98"/>
      <c r="AP83" s="338"/>
    </row>
    <row r="84" spans="1:42" ht="15" customHeight="1" x14ac:dyDescent="0.2">
      <c r="A84" s="19"/>
      <c r="B84" s="351"/>
      <c r="C84" s="352"/>
      <c r="D84" s="109"/>
      <c r="E84" s="34" t="s">
        <v>386</v>
      </c>
      <c r="F84" s="56">
        <f>Equations!F63</f>
        <v>5.5</v>
      </c>
      <c r="G84" s="176" t="s">
        <v>131</v>
      </c>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98"/>
    </row>
    <row r="85" spans="1:42" ht="15" customHeight="1" x14ac:dyDescent="0.2">
      <c r="A85" s="19"/>
      <c r="B85" s="351"/>
      <c r="C85" s="352"/>
      <c r="D85" s="109"/>
      <c r="E85" s="34" t="s">
        <v>387</v>
      </c>
      <c r="F85" s="207">
        <v>10</v>
      </c>
      <c r="G85" s="178" t="s">
        <v>131</v>
      </c>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98"/>
    </row>
    <row r="86" spans="1:42" ht="15" customHeight="1" x14ac:dyDescent="0.2">
      <c r="A86" s="19"/>
      <c r="B86" s="351"/>
      <c r="C86" s="352"/>
      <c r="D86" s="109"/>
      <c r="E86" s="34" t="s">
        <v>397</v>
      </c>
      <c r="F86" s="56">
        <f>Equations!F65</f>
        <v>2.2000000000000002</v>
      </c>
      <c r="G86" s="178" t="s">
        <v>362</v>
      </c>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98"/>
    </row>
    <row r="87" spans="1:42" ht="16.899999999999999" customHeight="1" x14ac:dyDescent="0.2">
      <c r="A87" s="19"/>
      <c r="B87" s="351"/>
      <c r="C87" s="352"/>
      <c r="D87" s="109"/>
      <c r="E87" s="34" t="s">
        <v>392</v>
      </c>
      <c r="F87" s="56">
        <f>Equations!F72</f>
        <v>21.862382867486662</v>
      </c>
      <c r="G87" s="178"/>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98"/>
    </row>
    <row r="88" spans="1:42" ht="16.899999999999999" customHeight="1" x14ac:dyDescent="0.2">
      <c r="A88" s="19"/>
      <c r="B88" s="86"/>
      <c r="C88" s="23"/>
      <c r="D88" s="109"/>
      <c r="E88" s="34" t="s">
        <v>389</v>
      </c>
      <c r="F88" s="207">
        <v>5</v>
      </c>
      <c r="G88" s="178" t="s">
        <v>8</v>
      </c>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98"/>
    </row>
    <row r="89" spans="1:42" ht="16.899999999999999" customHeight="1" x14ac:dyDescent="0.2">
      <c r="A89" s="19"/>
      <c r="B89" s="86"/>
      <c r="C89" s="23"/>
      <c r="D89" s="109"/>
      <c r="E89" s="34" t="s">
        <v>390</v>
      </c>
      <c r="F89" s="56">
        <f>Equations!F77</f>
        <v>264.70588235294122</v>
      </c>
      <c r="G89" s="178" t="s">
        <v>131</v>
      </c>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98"/>
    </row>
    <row r="90" spans="1:42" ht="16.899999999999999" customHeight="1" x14ac:dyDescent="0.3">
      <c r="A90" s="19"/>
      <c r="B90" s="86"/>
      <c r="C90" s="23"/>
      <c r="D90" s="109"/>
      <c r="E90" s="198" t="s">
        <v>461</v>
      </c>
      <c r="F90" s="207">
        <v>100</v>
      </c>
      <c r="G90" s="178" t="s">
        <v>131</v>
      </c>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98"/>
    </row>
    <row r="91" spans="1:42" ht="15" customHeight="1" x14ac:dyDescent="0.2">
      <c r="A91" s="19"/>
      <c r="B91" s="86"/>
      <c r="C91" s="23"/>
      <c r="D91" s="109"/>
      <c r="E91" s="175" t="s">
        <v>395</v>
      </c>
      <c r="F91" s="56">
        <f>Equations!F79</f>
        <v>1.8888888888888888</v>
      </c>
      <c r="G91" s="178" t="s">
        <v>8</v>
      </c>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103" t="s">
        <v>293</v>
      </c>
    </row>
    <row r="92" spans="1:42" ht="15" customHeight="1" x14ac:dyDescent="0.2">
      <c r="A92" s="19"/>
      <c r="B92" s="86"/>
      <c r="C92" s="23"/>
      <c r="D92" s="109"/>
      <c r="E92" s="175" t="s">
        <v>400</v>
      </c>
      <c r="F92" s="56">
        <f>Equations!F81</f>
        <v>2.7859061487957568</v>
      </c>
      <c r="G92" s="179"/>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103"/>
    </row>
    <row r="93" spans="1:42" ht="14.65" customHeight="1" x14ac:dyDescent="0.2">
      <c r="A93" s="19"/>
      <c r="B93" s="86"/>
      <c r="C93" s="23"/>
      <c r="D93" s="109"/>
      <c r="E93" s="174" t="s">
        <v>213</v>
      </c>
      <c r="F93" s="63">
        <f>Equations!F108</f>
        <v>30.90909090909091</v>
      </c>
      <c r="G93" s="179" t="s">
        <v>8</v>
      </c>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98"/>
    </row>
    <row r="94" spans="1:42" ht="15" customHeight="1" thickBot="1" x14ac:dyDescent="0.25">
      <c r="A94" s="19"/>
      <c r="B94" s="86"/>
      <c r="C94" s="23"/>
      <c r="D94" s="109"/>
      <c r="E94" s="174" t="s">
        <v>97</v>
      </c>
      <c r="F94" s="56">
        <f>Equations!F111</f>
        <v>230.44444444444446</v>
      </c>
      <c r="G94" s="178" t="s">
        <v>8</v>
      </c>
      <c r="H94" s="120"/>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98"/>
    </row>
    <row r="95" spans="1:42" ht="15" customHeight="1" x14ac:dyDescent="0.25">
      <c r="A95" s="19"/>
      <c r="B95" s="150" t="s">
        <v>228</v>
      </c>
      <c r="C95" s="132"/>
      <c r="D95" s="83"/>
      <c r="E95" s="97" t="s">
        <v>24</v>
      </c>
      <c r="F95" s="209" t="s">
        <v>22</v>
      </c>
      <c r="G95" s="185"/>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119"/>
      <c r="AN95" s="33" t="s">
        <v>22</v>
      </c>
    </row>
    <row r="96" spans="1:42" ht="15" customHeight="1" x14ac:dyDescent="0.2">
      <c r="A96" s="19"/>
      <c r="B96" s="86"/>
      <c r="C96" s="23"/>
      <c r="D96" s="23"/>
      <c r="E96" s="67" t="s">
        <v>98</v>
      </c>
      <c r="F96" s="210">
        <v>11</v>
      </c>
      <c r="G96" s="186" t="s">
        <v>92</v>
      </c>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98"/>
      <c r="AN96" s="33" t="s">
        <v>23</v>
      </c>
    </row>
    <row r="97" spans="1:39" ht="15" customHeight="1" x14ac:dyDescent="0.2">
      <c r="A97" s="19"/>
      <c r="B97" s="86"/>
      <c r="C97" s="23"/>
      <c r="D97" s="23"/>
      <c r="E97" s="67" t="s">
        <v>99</v>
      </c>
      <c r="F97" s="210">
        <v>10.5</v>
      </c>
      <c r="G97" s="186" t="s">
        <v>92</v>
      </c>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98"/>
    </row>
    <row r="98" spans="1:39" ht="15" customHeight="1" x14ac:dyDescent="0.2">
      <c r="A98" s="19"/>
      <c r="B98" s="86"/>
      <c r="C98" s="23"/>
      <c r="D98" s="23"/>
      <c r="E98" s="67" t="s">
        <v>108</v>
      </c>
      <c r="F98" s="210">
        <v>13.5</v>
      </c>
      <c r="G98" s="186" t="s">
        <v>92</v>
      </c>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98"/>
    </row>
    <row r="99" spans="1:39" ht="15" customHeight="1" x14ac:dyDescent="0.2">
      <c r="A99" s="19"/>
      <c r="B99" s="86"/>
      <c r="C99" s="23"/>
      <c r="D99" s="23"/>
      <c r="E99" s="108" t="s">
        <v>100</v>
      </c>
      <c r="F99" s="149">
        <v>14</v>
      </c>
      <c r="G99" s="186" t="s">
        <v>92</v>
      </c>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98"/>
    </row>
    <row r="100" spans="1:39" ht="15" customHeight="1" x14ac:dyDescent="0.2">
      <c r="A100" s="19"/>
      <c r="B100" s="86"/>
      <c r="C100" s="23"/>
      <c r="D100" s="23"/>
      <c r="E100" s="107" t="s">
        <v>289</v>
      </c>
      <c r="F100" s="61">
        <f>IF(F95="Option A",Equations!F129,Equations!G129)</f>
        <v>21.739130434782609</v>
      </c>
      <c r="G100" s="187" t="s">
        <v>90</v>
      </c>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98"/>
    </row>
    <row r="101" spans="1:39" ht="15" customHeight="1" x14ac:dyDescent="0.2">
      <c r="A101" s="19"/>
      <c r="B101" s="86"/>
      <c r="C101" s="23"/>
      <c r="D101" s="23"/>
      <c r="E101" s="106" t="s">
        <v>25</v>
      </c>
      <c r="F101" s="61">
        <f>IF(F95="Option A",Equations!F130,Equations!G130)</f>
        <v>0.5999855175909552</v>
      </c>
      <c r="G101" s="187" t="s">
        <v>90</v>
      </c>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98"/>
    </row>
    <row r="102" spans="1:39" ht="15" customHeight="1" x14ac:dyDescent="0.2">
      <c r="A102" s="19"/>
      <c r="B102" s="332" t="s">
        <v>228</v>
      </c>
      <c r="C102" s="23"/>
      <c r="D102" s="23"/>
      <c r="E102" s="106" t="s">
        <v>26</v>
      </c>
      <c r="F102" s="61">
        <f>IF(F95="Option A",Equations!F131,Equations!G131)</f>
        <v>2.099949311568341</v>
      </c>
      <c r="G102" s="187" t="s">
        <v>90</v>
      </c>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98"/>
    </row>
    <row r="103" spans="1:39" ht="15" customHeight="1" x14ac:dyDescent="0.2">
      <c r="A103" s="19"/>
      <c r="B103" s="86"/>
      <c r="C103" s="23"/>
      <c r="D103" s="23"/>
      <c r="E103" s="106" t="s">
        <v>27</v>
      </c>
      <c r="F103" s="61">
        <f>IF(F95="Option A",Equations!F132,Equations!G132)</f>
        <v>0</v>
      </c>
      <c r="G103" s="186" t="s">
        <v>90</v>
      </c>
      <c r="H103" s="23"/>
      <c r="I103" s="23"/>
      <c r="J103" s="101"/>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23"/>
      <c r="AK103" s="23"/>
      <c r="AL103" s="23"/>
      <c r="AM103" s="98"/>
    </row>
    <row r="104" spans="1:39" ht="15" customHeight="1" x14ac:dyDescent="0.2">
      <c r="A104" s="19"/>
      <c r="B104" s="86"/>
      <c r="C104" s="23"/>
      <c r="D104" s="23"/>
      <c r="E104" s="67" t="s">
        <v>111</v>
      </c>
      <c r="F104" s="210">
        <v>22</v>
      </c>
      <c r="G104" s="187" t="s">
        <v>90</v>
      </c>
      <c r="H104" s="23"/>
      <c r="I104" s="23"/>
      <c r="J104" s="101"/>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98"/>
    </row>
    <row r="105" spans="1:39" ht="15" customHeight="1" x14ac:dyDescent="0.2">
      <c r="A105" s="19"/>
      <c r="B105" s="86"/>
      <c r="C105" s="23"/>
      <c r="D105" s="23"/>
      <c r="E105" s="67" t="s">
        <v>112</v>
      </c>
      <c r="F105" s="210">
        <v>0.80600000000000005</v>
      </c>
      <c r="G105" s="187" t="s">
        <v>90</v>
      </c>
      <c r="H105" s="23"/>
      <c r="I105" s="23"/>
      <c r="J105" s="101"/>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98"/>
    </row>
    <row r="106" spans="1:39" ht="15" customHeight="1" x14ac:dyDescent="0.2">
      <c r="A106" s="19"/>
      <c r="B106" s="86"/>
      <c r="C106" s="23"/>
      <c r="D106" s="23"/>
      <c r="E106" s="67" t="s">
        <v>113</v>
      </c>
      <c r="F106" s="210">
        <v>2</v>
      </c>
      <c r="G106" s="187" t="s">
        <v>90</v>
      </c>
      <c r="H106" s="23"/>
      <c r="I106" s="23"/>
      <c r="J106" s="101"/>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98"/>
    </row>
    <row r="107" spans="1:39" ht="15" customHeight="1" x14ac:dyDescent="0.2">
      <c r="A107" s="19"/>
      <c r="B107" s="86"/>
      <c r="C107" s="23"/>
      <c r="D107" s="23"/>
      <c r="E107" s="67" t="s">
        <v>114</v>
      </c>
      <c r="F107" s="149">
        <v>3.65</v>
      </c>
      <c r="G107" s="187" t="s">
        <v>90</v>
      </c>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98"/>
    </row>
    <row r="108" spans="1:39" ht="15" customHeight="1" x14ac:dyDescent="0.2">
      <c r="A108" s="19"/>
      <c r="B108" s="86"/>
      <c r="C108" s="23"/>
      <c r="D108" s="23"/>
      <c r="E108" s="23"/>
      <c r="F108" s="23"/>
      <c r="G108" s="188"/>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98"/>
    </row>
    <row r="109" spans="1:39" ht="15" customHeight="1" thickBot="1" x14ac:dyDescent="0.25">
      <c r="A109" s="19"/>
      <c r="B109" s="86"/>
      <c r="C109" s="99" t="s">
        <v>57</v>
      </c>
      <c r="D109" s="100" t="s">
        <v>38</v>
      </c>
      <c r="E109" s="100" t="s">
        <v>39</v>
      </c>
      <c r="F109" s="100" t="s">
        <v>40</v>
      </c>
      <c r="G109" s="188"/>
      <c r="H109" s="109"/>
      <c r="I109" s="109"/>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98"/>
    </row>
    <row r="110" spans="1:39" ht="15" customHeight="1" x14ac:dyDescent="0.2">
      <c r="A110" s="19"/>
      <c r="B110" s="86"/>
      <c r="C110" s="37" t="s">
        <v>101</v>
      </c>
      <c r="D110" s="52">
        <f>IF($F$95="Option A",Equations!F133,Equations!G133)</f>
        <v>10.535872416250891</v>
      </c>
      <c r="E110" s="53">
        <f>IF($F$95="Option A",Equations!F134,Equations!G134)</f>
        <v>10.760796863863149</v>
      </c>
      <c r="F110" s="54">
        <f>IF($F$95="Option A",Equations!F135,Equations!G135)</f>
        <v>10.985721311475411</v>
      </c>
      <c r="G110" s="186" t="s">
        <v>92</v>
      </c>
      <c r="H110" s="109"/>
      <c r="I110" s="109"/>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98"/>
    </row>
    <row r="111" spans="1:39" ht="15" customHeight="1" x14ac:dyDescent="0.2">
      <c r="A111" s="19"/>
      <c r="B111" s="86"/>
      <c r="C111" s="37" t="s">
        <v>102</v>
      </c>
      <c r="D111" s="55">
        <f>IF($F$95="Option A",Equations!F136,Equations!G136)</f>
        <v>10.13987241625089</v>
      </c>
      <c r="E111" s="56">
        <f>IF($F$95="Option A",Equations!F137,Equations!G137)</f>
        <v>10.254796863863151</v>
      </c>
      <c r="F111" s="57">
        <f>IF($F$95="Option A",Equations!F138,Equations!G138)</f>
        <v>10.369721311475411</v>
      </c>
      <c r="G111" s="186" t="s">
        <v>92</v>
      </c>
      <c r="H111" s="109"/>
      <c r="I111" s="109"/>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98"/>
    </row>
    <row r="112" spans="1:39" ht="15" customHeight="1" x14ac:dyDescent="0.2">
      <c r="A112" s="19"/>
      <c r="B112" s="86"/>
      <c r="C112" s="37" t="s">
        <v>103</v>
      </c>
      <c r="D112" s="55">
        <f>IF($F$95="Option A",Equations!F139,Equations!G139)</f>
        <v>14.151823</v>
      </c>
      <c r="E112" s="56">
        <f>IF($F$95="Option A",Equations!F140,Equations!G140)</f>
        <v>14.38748</v>
      </c>
      <c r="F112" s="57">
        <f>IF($F$95="Option A",Equations!F141,Equations!G141)</f>
        <v>14.697555000000001</v>
      </c>
      <c r="G112" s="186" t="s">
        <v>92</v>
      </c>
      <c r="H112" s="109"/>
      <c r="I112" s="109"/>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98"/>
    </row>
    <row r="113" spans="1:39" ht="15" customHeight="1" thickBot="1" x14ac:dyDescent="0.25">
      <c r="A113" s="19"/>
      <c r="B113" s="86"/>
      <c r="C113" s="37" t="s">
        <v>104</v>
      </c>
      <c r="D113" s="58">
        <f>IF($F$95="Option A",Equations!F142,Equations!G142)</f>
        <v>13.524657999999999</v>
      </c>
      <c r="E113" s="59">
        <f>IF($F$95="Option A",Equations!F143,Equations!G143)</f>
        <v>13.862941999999999</v>
      </c>
      <c r="F113" s="60">
        <f>IF($F$95="Option A",Equations!F144,Equations!G144)</f>
        <v>14.287047000000001</v>
      </c>
      <c r="G113" s="186" t="s">
        <v>92</v>
      </c>
      <c r="H113" s="109"/>
      <c r="I113" s="109"/>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98"/>
    </row>
    <row r="114" spans="1:39" ht="15" customHeight="1" x14ac:dyDescent="0.2">
      <c r="A114" s="19"/>
      <c r="B114" s="86"/>
      <c r="C114" s="101" t="s">
        <v>224</v>
      </c>
      <c r="D114" s="9"/>
      <c r="E114" s="23"/>
      <c r="F114" s="23"/>
      <c r="G114" s="188"/>
      <c r="H114" s="109"/>
      <c r="I114" s="109"/>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23"/>
      <c r="AI114" s="23"/>
      <c r="AJ114" s="23"/>
      <c r="AK114" s="23"/>
      <c r="AL114" s="23"/>
      <c r="AM114" s="98"/>
    </row>
    <row r="115" spans="1:39" ht="15" customHeight="1" x14ac:dyDescent="0.3">
      <c r="A115" s="19"/>
      <c r="B115" s="85"/>
      <c r="C115" s="23"/>
      <c r="D115" s="23"/>
      <c r="E115" s="37" t="s">
        <v>125</v>
      </c>
      <c r="F115" s="211">
        <v>100</v>
      </c>
      <c r="G115" s="189" t="s">
        <v>90</v>
      </c>
      <c r="H115" s="23"/>
      <c r="I115" s="9"/>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23"/>
      <c r="AI115" s="23"/>
      <c r="AJ115" s="23"/>
      <c r="AK115" s="23"/>
      <c r="AL115" s="23"/>
      <c r="AM115" s="98"/>
    </row>
    <row r="116" spans="1:39" ht="15" customHeight="1" x14ac:dyDescent="0.2">
      <c r="A116" s="19"/>
      <c r="B116" s="86"/>
      <c r="C116" s="23"/>
      <c r="D116" s="23"/>
      <c r="E116" s="37" t="s">
        <v>126</v>
      </c>
      <c r="F116" s="211">
        <v>11.5</v>
      </c>
      <c r="G116" s="190" t="s">
        <v>92</v>
      </c>
      <c r="H116" s="23"/>
      <c r="I116" s="23"/>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c r="AG116" s="23"/>
      <c r="AH116" s="23"/>
      <c r="AI116" s="23"/>
      <c r="AJ116" s="23"/>
      <c r="AK116" s="23"/>
      <c r="AL116" s="23"/>
      <c r="AM116" s="98"/>
    </row>
    <row r="117" spans="1:39" ht="15" customHeight="1" x14ac:dyDescent="0.2">
      <c r="A117" s="19"/>
      <c r="B117" s="86"/>
      <c r="C117" s="23"/>
      <c r="D117" s="23"/>
      <c r="E117" s="37" t="s">
        <v>127</v>
      </c>
      <c r="F117" s="211">
        <v>0.3</v>
      </c>
      <c r="G117" s="190" t="s">
        <v>92</v>
      </c>
      <c r="H117" s="23"/>
      <c r="I117" s="23"/>
      <c r="J117" s="23"/>
      <c r="K117" s="23"/>
      <c r="L117" s="23"/>
      <c r="M117" s="23"/>
      <c r="N117" s="23"/>
      <c r="O117" s="23"/>
      <c r="P117" s="23"/>
      <c r="Q117" s="23"/>
      <c r="R117" s="23"/>
      <c r="S117" s="23"/>
      <c r="T117" s="23"/>
      <c r="U117" s="23"/>
      <c r="V117" s="23"/>
      <c r="W117" s="23"/>
      <c r="X117" s="23"/>
      <c r="Y117" s="23"/>
      <c r="Z117" s="23"/>
      <c r="AA117" s="23"/>
      <c r="AB117" s="23"/>
      <c r="AC117" s="23"/>
      <c r="AD117" s="23"/>
      <c r="AE117" s="23"/>
      <c r="AF117" s="23"/>
      <c r="AG117" s="23"/>
      <c r="AH117" s="23"/>
      <c r="AI117" s="23"/>
      <c r="AJ117" s="23"/>
      <c r="AK117" s="23"/>
      <c r="AL117" s="23"/>
      <c r="AM117" s="98"/>
    </row>
    <row r="118" spans="1:39" ht="15" customHeight="1" x14ac:dyDescent="0.3">
      <c r="A118" s="19"/>
      <c r="B118" s="86"/>
      <c r="C118" s="23"/>
      <c r="D118" s="23"/>
      <c r="E118" s="112" t="s">
        <v>290</v>
      </c>
      <c r="F118" s="64">
        <f>F117/('Device Parmaters'!D52/1000)</f>
        <v>12.5</v>
      </c>
      <c r="G118" s="189" t="s">
        <v>90</v>
      </c>
      <c r="H118" s="23"/>
      <c r="I118" s="23"/>
      <c r="J118" s="23"/>
      <c r="K118" s="23"/>
      <c r="L118" s="23"/>
      <c r="M118" s="23"/>
      <c r="N118" s="23"/>
      <c r="O118" s="23"/>
      <c r="P118" s="23"/>
      <c r="Q118" s="23"/>
      <c r="R118" s="23"/>
      <c r="S118" s="23"/>
      <c r="T118" s="23"/>
      <c r="U118" s="23"/>
      <c r="V118" s="23"/>
      <c r="W118" s="23"/>
      <c r="X118" s="23"/>
      <c r="Y118" s="23"/>
      <c r="Z118" s="23"/>
      <c r="AA118" s="23"/>
      <c r="AB118" s="23"/>
      <c r="AC118" s="23"/>
      <c r="AD118" s="23"/>
      <c r="AE118" s="23"/>
      <c r="AF118" s="23"/>
      <c r="AG118" s="23"/>
      <c r="AH118" s="23"/>
      <c r="AI118" s="23"/>
      <c r="AJ118" s="23"/>
      <c r="AK118" s="23"/>
      <c r="AL118" s="23"/>
      <c r="AM118" s="98"/>
    </row>
    <row r="119" spans="1:39" ht="15" customHeight="1" x14ac:dyDescent="0.3">
      <c r="A119" s="19"/>
      <c r="B119" s="86"/>
      <c r="C119" s="23"/>
      <c r="D119" s="23"/>
      <c r="E119" s="112" t="s">
        <v>116</v>
      </c>
      <c r="F119" s="130">
        <f>F118*'Device Parmaters'!D51/(F116-'Device Parmaters'!D51)</f>
        <v>1.411739088357689</v>
      </c>
      <c r="G119" s="189" t="s">
        <v>90</v>
      </c>
      <c r="H119" s="23"/>
      <c r="I119" s="23"/>
      <c r="J119" s="23"/>
      <c r="K119" s="23"/>
      <c r="L119" s="23"/>
      <c r="M119" s="23"/>
      <c r="N119" s="23"/>
      <c r="O119" s="23"/>
      <c r="P119" s="23"/>
      <c r="Q119" s="23"/>
      <c r="R119" s="23"/>
      <c r="S119" s="23"/>
      <c r="T119" s="23"/>
      <c r="U119" s="23"/>
      <c r="V119" s="23"/>
      <c r="W119" s="23"/>
      <c r="X119" s="23"/>
      <c r="Y119" s="23"/>
      <c r="Z119" s="23"/>
      <c r="AA119" s="23"/>
      <c r="AB119" s="23"/>
      <c r="AC119" s="23"/>
      <c r="AD119" s="23"/>
      <c r="AE119" s="23"/>
      <c r="AF119" s="23"/>
      <c r="AG119" s="23"/>
      <c r="AH119" s="23"/>
      <c r="AI119" s="23"/>
      <c r="AJ119" s="23"/>
      <c r="AK119" s="23"/>
      <c r="AL119" s="23"/>
      <c r="AM119" s="98"/>
    </row>
    <row r="120" spans="1:39" ht="15" customHeight="1" x14ac:dyDescent="0.3">
      <c r="A120" s="19"/>
      <c r="B120" s="86"/>
      <c r="C120" s="23"/>
      <c r="D120" s="23"/>
      <c r="E120" s="37" t="s">
        <v>249</v>
      </c>
      <c r="F120" s="211">
        <v>12.4</v>
      </c>
      <c r="G120" s="189" t="s">
        <v>90</v>
      </c>
      <c r="H120" s="23"/>
      <c r="I120" s="23"/>
      <c r="J120" s="23"/>
      <c r="K120" s="23"/>
      <c r="L120" s="23"/>
      <c r="M120" s="23"/>
      <c r="N120" s="23"/>
      <c r="O120" s="23"/>
      <c r="P120" s="23"/>
      <c r="Q120" s="23"/>
      <c r="R120" s="23"/>
      <c r="S120" s="23"/>
      <c r="T120" s="23"/>
      <c r="U120" s="23"/>
      <c r="V120" s="23"/>
      <c r="W120" s="23"/>
      <c r="X120" s="23"/>
      <c r="Y120" s="23"/>
      <c r="Z120" s="23"/>
      <c r="AA120" s="23"/>
      <c r="AB120" s="23"/>
      <c r="AC120" s="23"/>
      <c r="AD120" s="23"/>
      <c r="AE120" s="23"/>
      <c r="AF120" s="23"/>
      <c r="AG120" s="23"/>
      <c r="AH120" s="23"/>
      <c r="AI120" s="23"/>
      <c r="AJ120" s="23"/>
      <c r="AK120" s="23"/>
      <c r="AL120" s="23"/>
      <c r="AM120" s="98"/>
    </row>
    <row r="121" spans="1:39" ht="15" customHeight="1" x14ac:dyDescent="0.3">
      <c r="A121" s="19"/>
      <c r="B121" s="86"/>
      <c r="C121" s="23"/>
      <c r="D121" s="23"/>
      <c r="E121" s="112" t="s">
        <v>116</v>
      </c>
      <c r="F121" s="211">
        <v>1.4</v>
      </c>
      <c r="G121" s="189" t="s">
        <v>90</v>
      </c>
      <c r="H121" s="23"/>
      <c r="I121" s="23"/>
      <c r="J121" s="23"/>
      <c r="K121" s="23"/>
      <c r="L121" s="23"/>
      <c r="M121" s="23"/>
      <c r="N121" s="23"/>
      <c r="O121" s="23"/>
      <c r="P121" s="23"/>
      <c r="Q121" s="23"/>
      <c r="R121" s="23"/>
      <c r="S121" s="23"/>
      <c r="T121" s="23"/>
      <c r="U121" s="23"/>
      <c r="V121" s="23"/>
      <c r="W121" s="23"/>
      <c r="X121" s="23"/>
      <c r="Y121" s="23"/>
      <c r="Z121" s="23"/>
      <c r="AA121" s="23"/>
      <c r="AB121" s="23"/>
      <c r="AC121" s="23"/>
      <c r="AD121" s="23"/>
      <c r="AE121" s="23"/>
      <c r="AF121" s="23"/>
      <c r="AG121" s="23"/>
      <c r="AH121" s="23"/>
      <c r="AI121" s="23"/>
      <c r="AJ121" s="23"/>
      <c r="AK121" s="23"/>
      <c r="AL121" s="23"/>
      <c r="AM121" s="98"/>
    </row>
    <row r="122" spans="1:39" ht="15" customHeight="1" x14ac:dyDescent="0.2">
      <c r="A122" s="19"/>
      <c r="B122" s="86"/>
      <c r="C122" s="23"/>
      <c r="D122" s="23"/>
      <c r="E122" s="112" t="s">
        <v>259</v>
      </c>
      <c r="F122" s="134">
        <f>Equations!F114</f>
        <v>11.503285714285715</v>
      </c>
      <c r="G122" s="190" t="s">
        <v>92</v>
      </c>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98"/>
    </row>
    <row r="123" spans="1:39" ht="15" customHeight="1" thickBot="1" x14ac:dyDescent="0.25">
      <c r="A123" s="19"/>
      <c r="B123" s="86"/>
      <c r="C123" s="88"/>
      <c r="D123" s="88"/>
      <c r="E123" s="112" t="s">
        <v>260</v>
      </c>
      <c r="F123" s="134">
        <f>Equations!F117</f>
        <v>297.60000000000002</v>
      </c>
      <c r="G123" s="190" t="s">
        <v>184</v>
      </c>
      <c r="H123" s="88"/>
      <c r="I123" s="88"/>
      <c r="J123" s="88"/>
      <c r="K123" s="88"/>
      <c r="L123" s="88"/>
      <c r="M123" s="88"/>
      <c r="N123" s="88"/>
      <c r="O123" s="88"/>
      <c r="P123" s="88"/>
      <c r="Q123" s="88"/>
      <c r="R123" s="88"/>
      <c r="S123" s="88"/>
      <c r="T123" s="88"/>
      <c r="U123" s="88"/>
      <c r="V123" s="88"/>
      <c r="W123" s="88"/>
      <c r="X123" s="88"/>
      <c r="Y123" s="88"/>
      <c r="Z123" s="88"/>
      <c r="AA123" s="88"/>
      <c r="AB123" s="88"/>
      <c r="AC123" s="88"/>
      <c r="AD123" s="88"/>
      <c r="AE123" s="88"/>
      <c r="AF123" s="88"/>
      <c r="AG123" s="88"/>
      <c r="AH123" s="88"/>
      <c r="AI123" s="88"/>
      <c r="AJ123" s="88"/>
      <c r="AK123" s="88"/>
      <c r="AL123" s="88"/>
      <c r="AM123" s="102"/>
    </row>
    <row r="124" spans="1:39" ht="18.75" customHeight="1" x14ac:dyDescent="0.25">
      <c r="A124" s="19"/>
      <c r="B124" s="150" t="s">
        <v>233</v>
      </c>
      <c r="C124" s="83"/>
      <c r="D124" s="83"/>
      <c r="E124" s="121" t="s">
        <v>120</v>
      </c>
      <c r="F124" s="96">
        <f>Rs</f>
        <v>1.5</v>
      </c>
      <c r="G124" s="191" t="s">
        <v>91</v>
      </c>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119"/>
    </row>
    <row r="125" spans="1:39" ht="15" customHeight="1" x14ac:dyDescent="0.25">
      <c r="A125" s="19"/>
      <c r="B125" s="85"/>
      <c r="C125" s="23"/>
      <c r="D125" s="23"/>
      <c r="E125" s="104" t="s">
        <v>231</v>
      </c>
      <c r="F125" s="105" t="str">
        <f>IF(RsMAX&gt;Rs,"Open",RDIV1)</f>
        <v>Open</v>
      </c>
      <c r="G125" s="192" t="s">
        <v>93</v>
      </c>
      <c r="H125" s="23"/>
      <c r="I125" s="23"/>
      <c r="J125" s="109"/>
      <c r="K125" s="109"/>
      <c r="L125" s="109"/>
      <c r="M125" s="109"/>
      <c r="N125" s="109"/>
      <c r="O125" s="109"/>
      <c r="P125" s="109"/>
      <c r="Q125" s="109"/>
      <c r="R125" s="109"/>
      <c r="S125" s="109"/>
      <c r="T125" s="109"/>
      <c r="U125" s="109"/>
      <c r="V125" s="109"/>
      <c r="W125" s="109"/>
      <c r="X125" s="109"/>
      <c r="Y125" s="109"/>
      <c r="Z125" s="109"/>
      <c r="AA125" s="109"/>
      <c r="AB125" s="109"/>
      <c r="AC125" s="109"/>
      <c r="AD125" s="109"/>
      <c r="AE125" s="109"/>
      <c r="AF125" s="109"/>
      <c r="AG125" s="109"/>
      <c r="AH125" s="109"/>
      <c r="AI125" s="109"/>
      <c r="AJ125" s="109"/>
      <c r="AK125" s="109"/>
      <c r="AL125" s="109"/>
      <c r="AM125" s="151"/>
    </row>
    <row r="126" spans="1:39" ht="14.25" customHeight="1" thickBot="1" x14ac:dyDescent="0.3">
      <c r="A126" s="19"/>
      <c r="B126" s="85"/>
      <c r="C126" s="23"/>
      <c r="D126" s="23"/>
      <c r="E126" s="104" t="s">
        <v>232</v>
      </c>
      <c r="F126" s="105">
        <f>IF(RsMAX&gt;Rs,0,RDIV2)</f>
        <v>0</v>
      </c>
      <c r="G126" s="192" t="s">
        <v>93</v>
      </c>
      <c r="H126" s="23"/>
      <c r="I126" s="23"/>
      <c r="J126" s="109"/>
      <c r="K126" s="109"/>
      <c r="L126" s="109"/>
      <c r="M126" s="109"/>
      <c r="N126" s="109"/>
      <c r="O126" s="109"/>
      <c r="P126" s="109"/>
      <c r="Q126" s="109"/>
      <c r="R126" s="109"/>
      <c r="S126" s="109"/>
      <c r="T126" s="109"/>
      <c r="U126" s="109"/>
      <c r="V126" s="109"/>
      <c r="W126" s="109"/>
      <c r="X126" s="109"/>
      <c r="Y126" s="109"/>
      <c r="Z126" s="109"/>
      <c r="AA126" s="109"/>
      <c r="AB126" s="109"/>
      <c r="AC126" s="109"/>
      <c r="AD126" s="109"/>
      <c r="AE126" s="109"/>
      <c r="AF126" s="109"/>
      <c r="AG126" s="109"/>
      <c r="AH126" s="109"/>
      <c r="AI126" s="109"/>
      <c r="AJ126" s="109"/>
      <c r="AK126" s="109"/>
      <c r="AL126" s="109"/>
      <c r="AM126" s="151"/>
    </row>
    <row r="127" spans="1:39" ht="15" customHeight="1" x14ac:dyDescent="0.2">
      <c r="A127" s="19"/>
      <c r="B127" s="86"/>
      <c r="C127" s="23"/>
      <c r="D127" s="23"/>
      <c r="E127" s="66" t="s">
        <v>19</v>
      </c>
      <c r="F127" s="45">
        <f>F67</f>
        <v>49.9</v>
      </c>
      <c r="G127" s="193" t="s">
        <v>90</v>
      </c>
      <c r="H127" s="23"/>
      <c r="I127" s="289"/>
      <c r="J127" s="290"/>
      <c r="K127" s="291" t="s">
        <v>39</v>
      </c>
      <c r="L127" s="292" t="s">
        <v>173</v>
      </c>
      <c r="M127" s="100"/>
      <c r="N127" s="124"/>
      <c r="O127" s="124"/>
      <c r="P127" s="124"/>
      <c r="Q127" s="124"/>
      <c r="R127" s="124"/>
      <c r="S127" s="124"/>
      <c r="T127" s="124"/>
      <c r="U127" s="124"/>
      <c r="V127" s="124"/>
      <c r="W127" s="124"/>
      <c r="X127" s="124"/>
      <c r="Y127" s="124"/>
      <c r="Z127" s="124"/>
      <c r="AA127" s="124"/>
      <c r="AB127" s="124"/>
      <c r="AC127" s="124"/>
      <c r="AD127" s="124"/>
      <c r="AE127" s="124"/>
      <c r="AF127" s="124"/>
      <c r="AG127" s="124"/>
      <c r="AH127" s="124"/>
      <c r="AI127" s="124"/>
      <c r="AJ127" s="124"/>
      <c r="AK127" s="124"/>
      <c r="AL127" s="124"/>
      <c r="AM127" s="98"/>
    </row>
    <row r="128" spans="1:39" ht="15" customHeight="1" x14ac:dyDescent="0.2">
      <c r="A128" s="19"/>
      <c r="B128" s="86"/>
      <c r="C128" s="23"/>
      <c r="D128" s="23"/>
      <c r="E128" s="66" t="s">
        <v>20</v>
      </c>
      <c r="F128" s="56">
        <f>IF(F72="YES", F90, F77)</f>
        <v>100</v>
      </c>
      <c r="G128" s="194" t="s">
        <v>131</v>
      </c>
      <c r="H128" s="23"/>
      <c r="I128" s="293"/>
      <c r="J128" s="286" t="s">
        <v>234</v>
      </c>
      <c r="K128" s="131">
        <f>F47</f>
        <v>16.666666666666668</v>
      </c>
      <c r="L128" s="294" t="s">
        <v>28</v>
      </c>
      <c r="M128" s="238"/>
      <c r="N128" s="23"/>
      <c r="O128" s="23"/>
      <c r="P128" s="23"/>
      <c r="Q128" s="23"/>
      <c r="R128" s="23"/>
      <c r="S128" s="23"/>
      <c r="T128" s="23"/>
      <c r="U128" s="23"/>
      <c r="V128" s="23"/>
      <c r="W128" s="23"/>
      <c r="X128" s="23"/>
      <c r="Y128" s="23"/>
      <c r="Z128" s="23"/>
      <c r="AA128" s="23"/>
      <c r="AB128" s="23"/>
      <c r="AC128" s="23"/>
      <c r="AD128" s="23"/>
      <c r="AE128" s="23"/>
      <c r="AF128" s="23"/>
      <c r="AG128" s="23"/>
      <c r="AH128" s="23"/>
      <c r="AI128" s="23"/>
      <c r="AJ128" s="23"/>
      <c r="AK128" s="23"/>
      <c r="AL128" s="23"/>
      <c r="AM128" s="98"/>
    </row>
    <row r="129" spans="1:40" ht="15" customHeight="1" x14ac:dyDescent="0.2">
      <c r="A129" s="19"/>
      <c r="B129" s="86"/>
      <c r="C129" s="23"/>
      <c r="D129" s="23"/>
      <c r="E129" s="66" t="s">
        <v>13</v>
      </c>
      <c r="F129" s="46">
        <f>F104</f>
        <v>22</v>
      </c>
      <c r="G129" s="193" t="s">
        <v>90</v>
      </c>
      <c r="H129" s="23"/>
      <c r="I129" s="293"/>
      <c r="J129" s="286" t="s">
        <v>183</v>
      </c>
      <c r="K129" s="126">
        <f>F68</f>
        <v>189.67766323024051</v>
      </c>
      <c r="L129" s="294" t="s">
        <v>93</v>
      </c>
      <c r="M129" s="239"/>
      <c r="N129" s="23"/>
      <c r="O129" s="23"/>
      <c r="P129" s="23"/>
      <c r="Q129" s="23"/>
      <c r="R129" s="23"/>
      <c r="S129" s="23"/>
      <c r="T129" s="23"/>
      <c r="U129" s="23"/>
      <c r="V129" s="23"/>
      <c r="W129" s="23"/>
      <c r="X129" s="23"/>
      <c r="Y129" s="23"/>
      <c r="Z129" s="23"/>
      <c r="AA129" s="23"/>
      <c r="AB129" s="23"/>
      <c r="AC129" s="23"/>
      <c r="AD129" s="23"/>
      <c r="AE129" s="23"/>
      <c r="AF129" s="23"/>
      <c r="AG129" s="23"/>
      <c r="AH129" s="23"/>
      <c r="AI129" s="23"/>
      <c r="AJ129" s="23"/>
      <c r="AK129" s="23"/>
      <c r="AL129" s="23"/>
      <c r="AM129" s="98"/>
    </row>
    <row r="130" spans="1:40" ht="15" customHeight="1" x14ac:dyDescent="0.2">
      <c r="A130" s="19"/>
      <c r="B130" s="86"/>
      <c r="C130" s="23"/>
      <c r="D130" s="23"/>
      <c r="E130" s="66" t="s">
        <v>14</v>
      </c>
      <c r="F130" s="46">
        <f>F105</f>
        <v>0.80600000000000005</v>
      </c>
      <c r="G130" s="193" t="s">
        <v>90</v>
      </c>
      <c r="H130" s="23"/>
      <c r="I130" s="293"/>
      <c r="J130" s="287" t="s">
        <v>244</v>
      </c>
      <c r="K130" s="131">
        <f xml:space="preserve"> IF(F51="1.8 x Current Limit",'Device Parmaters'!D34*'Design Calculator'!K128,'Device Parmaters'!D36*'Design Calculator'!K128)</f>
        <v>30.000000000000004</v>
      </c>
      <c r="L130" s="294" t="s">
        <v>28</v>
      </c>
      <c r="M130" s="238"/>
      <c r="N130" s="23"/>
      <c r="O130" s="23"/>
      <c r="P130" s="23"/>
      <c r="Q130" s="23"/>
      <c r="R130" s="23"/>
      <c r="S130" s="23"/>
      <c r="T130" s="23"/>
      <c r="U130" s="23"/>
      <c r="V130" s="23"/>
      <c r="W130" s="23"/>
      <c r="X130" s="23"/>
      <c r="Y130" s="23"/>
      <c r="Z130" s="23"/>
      <c r="AA130" s="23"/>
      <c r="AB130" s="23"/>
      <c r="AC130" s="23"/>
      <c r="AD130" s="23"/>
      <c r="AE130" s="23"/>
      <c r="AF130" s="23"/>
      <c r="AG130" s="23"/>
      <c r="AH130" s="23"/>
      <c r="AI130" s="23"/>
      <c r="AJ130" s="23"/>
      <c r="AK130" s="23"/>
      <c r="AL130" s="23"/>
      <c r="AM130" s="98"/>
    </row>
    <row r="131" spans="1:40" ht="15" customHeight="1" x14ac:dyDescent="0.2">
      <c r="A131" s="19"/>
      <c r="B131" s="86"/>
      <c r="C131" s="23"/>
      <c r="D131" s="23"/>
      <c r="E131" s="66" t="s">
        <v>15</v>
      </c>
      <c r="F131" s="46">
        <f>F106</f>
        <v>2</v>
      </c>
      <c r="G131" s="193" t="s">
        <v>90</v>
      </c>
      <c r="H131" s="23"/>
      <c r="I131" s="293"/>
      <c r="J131" s="286" t="s">
        <v>235</v>
      </c>
      <c r="K131" s="133">
        <f>IF(F72="YES",Equations!F67,Start_up!M2)</f>
        <v>8.2501902601132535E-2</v>
      </c>
      <c r="L131" s="294" t="s">
        <v>8</v>
      </c>
      <c r="M131" s="240"/>
      <c r="N131" s="23"/>
      <c r="O131" s="23"/>
      <c r="P131" s="23"/>
      <c r="Q131" s="23"/>
      <c r="R131" s="23"/>
      <c r="S131" s="23"/>
      <c r="T131" s="23"/>
      <c r="U131" s="23"/>
      <c r="V131" s="23"/>
      <c r="W131" s="23"/>
      <c r="X131" s="23"/>
      <c r="Y131" s="23"/>
      <c r="Z131" s="23"/>
      <c r="AA131" s="23"/>
      <c r="AB131" s="23"/>
      <c r="AC131" s="23"/>
      <c r="AD131" s="23"/>
      <c r="AE131" s="23"/>
      <c r="AF131" s="23"/>
      <c r="AG131" s="23"/>
      <c r="AH131" s="23"/>
      <c r="AI131" s="23"/>
      <c r="AJ131" s="23"/>
      <c r="AK131" s="23"/>
      <c r="AL131" s="23"/>
      <c r="AM131" s="98"/>
    </row>
    <row r="132" spans="1:40" ht="15" customHeight="1" x14ac:dyDescent="0.2">
      <c r="A132" s="19"/>
      <c r="B132" s="86"/>
      <c r="C132" s="23"/>
      <c r="D132" s="23"/>
      <c r="E132" s="66" t="s">
        <v>16</v>
      </c>
      <c r="F132" s="47" t="str">
        <f>IF(F95="Option A","N/A",F107)</f>
        <v>N/A</v>
      </c>
      <c r="G132" s="193" t="s">
        <v>90</v>
      </c>
      <c r="H132" s="23"/>
      <c r="I132" s="293"/>
      <c r="J132" s="286" t="s">
        <v>236</v>
      </c>
      <c r="K132" s="131">
        <f>TINSERT</f>
        <v>30.90909090909091</v>
      </c>
      <c r="L132" s="294" t="s">
        <v>8</v>
      </c>
      <c r="M132" s="238"/>
      <c r="N132" s="23"/>
      <c r="O132" s="23"/>
      <c r="P132" s="23"/>
      <c r="Q132" s="23"/>
      <c r="R132" s="23"/>
      <c r="S132" s="23"/>
      <c r="T132" s="23"/>
      <c r="U132" s="23"/>
      <c r="V132" s="23"/>
      <c r="W132" s="23"/>
      <c r="X132" s="23"/>
      <c r="Y132" s="23"/>
      <c r="Z132" s="23"/>
      <c r="AA132" s="23"/>
      <c r="AB132" s="23"/>
      <c r="AC132" s="23"/>
      <c r="AD132" s="23"/>
      <c r="AE132" s="23"/>
      <c r="AF132" s="23"/>
      <c r="AG132" s="23"/>
      <c r="AH132" s="23"/>
      <c r="AI132" s="23"/>
      <c r="AJ132" s="23"/>
      <c r="AK132" s="23"/>
      <c r="AL132" s="23"/>
      <c r="AM132" s="98"/>
    </row>
    <row r="133" spans="1:40" ht="15" customHeight="1" x14ac:dyDescent="0.2">
      <c r="A133" s="19"/>
      <c r="B133" s="86"/>
      <c r="C133" s="23"/>
      <c r="D133" s="23"/>
      <c r="E133" s="67" t="s">
        <v>117</v>
      </c>
      <c r="F133" s="48">
        <f>F120</f>
        <v>12.4</v>
      </c>
      <c r="G133" s="193" t="s">
        <v>90</v>
      </c>
      <c r="H133" s="23"/>
      <c r="I133" s="293"/>
      <c r="J133" s="286" t="s">
        <v>237</v>
      </c>
      <c r="K133" s="127">
        <f>IF(F72="YES", F91,F78)</f>
        <v>1.8888888888888888</v>
      </c>
      <c r="L133" s="294" t="s">
        <v>8</v>
      </c>
      <c r="M133" s="241"/>
      <c r="N133" s="23"/>
      <c r="O133" s="23"/>
      <c r="P133" s="23"/>
      <c r="Q133" s="23"/>
      <c r="R133" s="23"/>
      <c r="S133" s="23"/>
      <c r="T133" s="23"/>
      <c r="U133" s="23"/>
      <c r="V133" s="23"/>
      <c r="W133" s="23"/>
      <c r="X133" s="23"/>
      <c r="Y133" s="23"/>
      <c r="Z133" s="23"/>
      <c r="AA133" s="23"/>
      <c r="AB133" s="23"/>
      <c r="AC133" s="23"/>
      <c r="AD133" s="23"/>
      <c r="AE133" s="23"/>
      <c r="AF133" s="23"/>
      <c r="AG133" s="23"/>
      <c r="AH133" s="23"/>
      <c r="AI133" s="23"/>
      <c r="AJ133" s="23"/>
      <c r="AK133" s="23"/>
      <c r="AL133" s="23"/>
      <c r="AM133" s="98"/>
    </row>
    <row r="134" spans="1:40" ht="15" customHeight="1" x14ac:dyDescent="0.2">
      <c r="A134" s="19"/>
      <c r="B134" s="86"/>
      <c r="C134" s="23"/>
      <c r="D134" s="23"/>
      <c r="E134" s="67" t="s">
        <v>118</v>
      </c>
      <c r="F134" s="48">
        <f>F121</f>
        <v>1.4</v>
      </c>
      <c r="G134" s="193" t="s">
        <v>90</v>
      </c>
      <c r="H134" s="23"/>
      <c r="I134" s="293"/>
      <c r="J134" s="286" t="s">
        <v>238</v>
      </c>
      <c r="K134" s="127">
        <f>F94</f>
        <v>230.44444444444446</v>
      </c>
      <c r="L134" s="294" t="s">
        <v>8</v>
      </c>
      <c r="M134" s="241"/>
      <c r="N134" s="23"/>
      <c r="O134" s="23"/>
      <c r="P134" s="23"/>
      <c r="Q134" s="23"/>
      <c r="R134" s="23"/>
      <c r="S134" s="23"/>
      <c r="T134" s="23"/>
      <c r="U134" s="23"/>
      <c r="V134" s="23"/>
      <c r="W134" s="23"/>
      <c r="X134" s="23"/>
      <c r="Y134" s="23"/>
      <c r="Z134" s="23"/>
      <c r="AA134" s="23"/>
      <c r="AB134" s="23"/>
      <c r="AC134" s="23"/>
      <c r="AD134" s="23"/>
      <c r="AE134" s="23"/>
      <c r="AF134" s="23"/>
      <c r="AG134" s="23"/>
      <c r="AH134" s="23"/>
      <c r="AI134" s="23"/>
      <c r="AJ134" s="23"/>
      <c r="AK134" s="23"/>
      <c r="AL134" s="23"/>
      <c r="AM134" s="98"/>
    </row>
    <row r="135" spans="1:40" ht="15" customHeight="1" x14ac:dyDescent="0.2">
      <c r="A135" s="19"/>
      <c r="B135" s="86"/>
      <c r="C135" s="23"/>
      <c r="D135" s="23"/>
      <c r="E135" s="66" t="s">
        <v>59</v>
      </c>
      <c r="F135" s="50">
        <f>F115</f>
        <v>100</v>
      </c>
      <c r="G135" s="193" t="s">
        <v>90</v>
      </c>
      <c r="H135" s="23"/>
      <c r="I135" s="293"/>
      <c r="J135" s="288" t="s">
        <v>239</v>
      </c>
      <c r="K135" s="127">
        <f>E110</f>
        <v>10.760796863863149</v>
      </c>
      <c r="L135" s="294" t="s">
        <v>92</v>
      </c>
      <c r="M135" s="241"/>
      <c r="N135" s="23"/>
      <c r="O135" s="23"/>
      <c r="P135" s="23"/>
      <c r="Q135" s="23"/>
      <c r="R135" s="23"/>
      <c r="S135" s="23"/>
      <c r="T135" s="23"/>
      <c r="U135" s="23"/>
      <c r="V135" s="23"/>
      <c r="W135" s="23"/>
      <c r="X135" s="23"/>
      <c r="Y135" s="23"/>
      <c r="Z135" s="23"/>
      <c r="AA135" s="23"/>
      <c r="AB135" s="23"/>
      <c r="AC135" s="23"/>
      <c r="AD135" s="23"/>
      <c r="AE135" s="23"/>
      <c r="AF135" s="23"/>
      <c r="AG135" s="23"/>
      <c r="AH135" s="23"/>
      <c r="AI135" s="23"/>
      <c r="AJ135" s="23"/>
      <c r="AK135" s="23"/>
      <c r="AL135" s="23"/>
      <c r="AM135" s="98"/>
    </row>
    <row r="136" spans="1:40" ht="15" customHeight="1" x14ac:dyDescent="0.2">
      <c r="A136" s="19"/>
      <c r="B136" s="86"/>
      <c r="C136" s="23"/>
      <c r="D136" s="23"/>
      <c r="E136" s="66" t="s">
        <v>58</v>
      </c>
      <c r="F136" s="49">
        <v>0.01</v>
      </c>
      <c r="G136" s="193" t="s">
        <v>89</v>
      </c>
      <c r="H136" s="23"/>
      <c r="I136" s="293"/>
      <c r="J136" s="288" t="s">
        <v>241</v>
      </c>
      <c r="K136" s="127">
        <f>E111</f>
        <v>10.254796863863151</v>
      </c>
      <c r="L136" s="294" t="s">
        <v>92</v>
      </c>
      <c r="M136" s="241"/>
      <c r="N136" s="23"/>
      <c r="O136" s="23"/>
      <c r="P136" s="23"/>
      <c r="Q136" s="23"/>
      <c r="R136" s="23"/>
      <c r="S136" s="23"/>
      <c r="T136" s="23"/>
      <c r="U136" s="23"/>
      <c r="V136" s="23"/>
      <c r="W136" s="23"/>
      <c r="X136" s="23"/>
      <c r="Y136" s="23"/>
      <c r="Z136" s="23"/>
      <c r="AA136" s="23"/>
      <c r="AB136" s="23"/>
      <c r="AC136" s="23"/>
      <c r="AD136" s="23"/>
      <c r="AE136" s="23"/>
      <c r="AF136" s="23"/>
      <c r="AG136" s="23"/>
      <c r="AH136" s="23"/>
      <c r="AI136" s="23"/>
      <c r="AJ136" s="23"/>
      <c r="AK136" s="23"/>
      <c r="AL136" s="23"/>
      <c r="AM136" s="98"/>
    </row>
    <row r="137" spans="1:40" ht="15" customHeight="1" x14ac:dyDescent="0.2">
      <c r="A137" s="19"/>
      <c r="B137" s="86"/>
      <c r="C137" s="23"/>
      <c r="D137" s="23"/>
      <c r="E137" s="67" t="s">
        <v>229</v>
      </c>
      <c r="F137" s="51">
        <v>1</v>
      </c>
      <c r="G137" s="193" t="s">
        <v>89</v>
      </c>
      <c r="H137" s="23"/>
      <c r="I137" s="293"/>
      <c r="J137" s="288" t="s">
        <v>242</v>
      </c>
      <c r="K137" s="127">
        <f>E112</f>
        <v>14.38748</v>
      </c>
      <c r="L137" s="294" t="s">
        <v>92</v>
      </c>
      <c r="M137" s="241"/>
      <c r="N137" s="23"/>
      <c r="O137" s="23"/>
      <c r="P137" s="23"/>
      <c r="Q137" s="23"/>
      <c r="R137" s="23"/>
      <c r="S137" s="23"/>
      <c r="T137" s="23"/>
      <c r="U137" s="23"/>
      <c r="V137" s="23"/>
      <c r="W137" s="23"/>
      <c r="X137" s="23"/>
      <c r="Y137" s="23"/>
      <c r="Z137" s="23"/>
      <c r="AA137" s="23"/>
      <c r="AB137" s="23"/>
      <c r="AC137" s="23"/>
      <c r="AD137" s="23"/>
      <c r="AE137" s="23"/>
      <c r="AF137" s="23"/>
      <c r="AG137" s="23"/>
      <c r="AH137" s="23"/>
      <c r="AI137" s="23"/>
      <c r="AJ137" s="23"/>
      <c r="AK137" s="23"/>
      <c r="AL137" s="23"/>
      <c r="AM137" s="98"/>
    </row>
    <row r="138" spans="1:40" ht="15" customHeight="1" x14ac:dyDescent="0.2">
      <c r="A138" s="19"/>
      <c r="B138" s="86"/>
      <c r="C138" s="23"/>
      <c r="D138" s="23"/>
      <c r="E138" s="67" t="s">
        <v>230</v>
      </c>
      <c r="F138" s="51">
        <v>1</v>
      </c>
      <c r="G138" s="193" t="s">
        <v>89</v>
      </c>
      <c r="H138" s="23"/>
      <c r="I138" s="293"/>
      <c r="J138" s="288" t="s">
        <v>240</v>
      </c>
      <c r="K138" s="127">
        <f>E113</f>
        <v>13.862941999999999</v>
      </c>
      <c r="L138" s="294" t="s">
        <v>92</v>
      </c>
      <c r="M138" s="241"/>
      <c r="N138" s="23"/>
      <c r="O138" s="23"/>
      <c r="P138" s="23"/>
      <c r="Q138" s="23"/>
      <c r="R138" s="23"/>
      <c r="S138" s="23"/>
      <c r="T138" s="23"/>
      <c r="U138" s="23"/>
      <c r="V138" s="23"/>
      <c r="W138" s="23"/>
      <c r="X138" s="23"/>
      <c r="Y138" s="23"/>
      <c r="Z138" s="23"/>
      <c r="AA138" s="23"/>
      <c r="AB138" s="23"/>
      <c r="AC138" s="23"/>
      <c r="AD138" s="23"/>
      <c r="AE138" s="23"/>
      <c r="AF138" s="23"/>
      <c r="AG138" s="23"/>
      <c r="AH138" s="23"/>
      <c r="AI138" s="23"/>
      <c r="AJ138" s="23"/>
      <c r="AK138" s="23"/>
      <c r="AL138" s="23"/>
      <c r="AM138" s="98"/>
    </row>
    <row r="139" spans="1:40" ht="15" customHeight="1" x14ac:dyDescent="0.2">
      <c r="A139" s="19"/>
      <c r="B139" s="86"/>
      <c r="C139" s="23"/>
      <c r="D139" s="23"/>
      <c r="E139" s="67" t="s">
        <v>508</v>
      </c>
      <c r="F139" s="51" t="s">
        <v>497</v>
      </c>
      <c r="G139" s="194"/>
      <c r="H139" s="23"/>
      <c r="I139" s="293"/>
      <c r="J139" s="288" t="s">
        <v>245</v>
      </c>
      <c r="K139" s="21">
        <f>Equations!F114</f>
        <v>11.503285714285715</v>
      </c>
      <c r="L139" s="294" t="s">
        <v>92</v>
      </c>
      <c r="M139" s="195"/>
      <c r="N139" s="23"/>
      <c r="O139" s="23"/>
      <c r="P139" s="23"/>
      <c r="Q139" s="23"/>
      <c r="R139" s="23"/>
      <c r="S139" s="23"/>
      <c r="T139" s="23"/>
      <c r="U139" s="23"/>
      <c r="V139" s="23"/>
      <c r="W139" s="23"/>
      <c r="X139" s="23"/>
      <c r="Y139" s="23"/>
      <c r="Z139" s="23"/>
      <c r="AA139" s="23"/>
      <c r="AB139" s="23"/>
      <c r="AC139" s="23"/>
      <c r="AD139" s="23"/>
      <c r="AE139" s="23"/>
      <c r="AF139" s="23"/>
      <c r="AG139" s="23"/>
      <c r="AH139" s="23"/>
      <c r="AI139" s="23"/>
      <c r="AJ139" s="23"/>
      <c r="AK139" s="23"/>
      <c r="AL139" s="23"/>
      <c r="AM139" s="98"/>
    </row>
    <row r="140" spans="1:40" ht="15" customHeight="1" x14ac:dyDescent="0.2">
      <c r="A140" s="19"/>
      <c r="B140" s="86"/>
      <c r="C140" s="23"/>
      <c r="D140" s="23"/>
      <c r="E140" s="67" t="s">
        <v>502</v>
      </c>
      <c r="F140" s="51" t="s">
        <v>503</v>
      </c>
      <c r="G140" s="194"/>
      <c r="H140" s="23"/>
      <c r="I140" s="301"/>
      <c r="J140" s="302"/>
      <c r="K140" s="303"/>
      <c r="L140" s="304"/>
      <c r="M140" s="195"/>
      <c r="N140" s="23"/>
      <c r="O140" s="23"/>
      <c r="P140" s="23"/>
      <c r="Q140" s="23"/>
      <c r="R140" s="23"/>
      <c r="S140" s="23"/>
      <c r="T140" s="23"/>
      <c r="U140" s="23"/>
      <c r="V140" s="23"/>
      <c r="W140" s="23"/>
      <c r="X140" s="23"/>
      <c r="Y140" s="23"/>
      <c r="Z140" s="23"/>
      <c r="AA140" s="23"/>
      <c r="AB140" s="23"/>
      <c r="AC140" s="23"/>
      <c r="AD140" s="23"/>
      <c r="AE140" s="23"/>
      <c r="AF140" s="23"/>
      <c r="AG140" s="23"/>
      <c r="AH140" s="23"/>
      <c r="AI140" s="23"/>
      <c r="AJ140" s="23"/>
      <c r="AK140" s="23"/>
      <c r="AL140" s="23"/>
      <c r="AM140" s="98"/>
    </row>
    <row r="141" spans="1:40" ht="15" customHeight="1" thickBot="1" x14ac:dyDescent="0.25">
      <c r="A141" s="19"/>
      <c r="B141" s="86"/>
      <c r="C141" s="23"/>
      <c r="D141" s="23"/>
      <c r="E141" s="67" t="s">
        <v>496</v>
      </c>
      <c r="F141" s="51" t="str">
        <f>IF(F72="YES", F85, "DNP")</f>
        <v>DNP</v>
      </c>
      <c r="G141" s="194" t="s">
        <v>131</v>
      </c>
      <c r="H141" s="23"/>
      <c r="I141" s="295"/>
      <c r="J141" s="296" t="s">
        <v>243</v>
      </c>
      <c r="K141" s="125">
        <f>Equations!F117</f>
        <v>297.60000000000002</v>
      </c>
      <c r="L141" s="297" t="s">
        <v>184</v>
      </c>
      <c r="M141" s="195"/>
      <c r="N141" s="23"/>
      <c r="O141" s="23"/>
      <c r="P141" s="23"/>
      <c r="Q141" s="23"/>
      <c r="R141" s="23"/>
      <c r="S141" s="23"/>
      <c r="T141" s="23"/>
      <c r="U141" s="23"/>
      <c r="V141" s="23"/>
      <c r="W141" s="23"/>
      <c r="X141" s="23"/>
      <c r="Y141" s="23"/>
      <c r="Z141" s="23"/>
      <c r="AA141" s="23"/>
      <c r="AB141" s="23"/>
      <c r="AC141" s="23"/>
      <c r="AD141" s="23"/>
      <c r="AE141" s="23"/>
      <c r="AF141" s="23"/>
      <c r="AG141" s="23"/>
      <c r="AH141" s="23"/>
      <c r="AI141" s="23"/>
      <c r="AJ141" s="23"/>
      <c r="AK141" s="23"/>
      <c r="AL141" s="23"/>
      <c r="AM141" s="98"/>
    </row>
    <row r="142" spans="1:40" ht="15" customHeight="1" x14ac:dyDescent="0.2">
      <c r="A142" s="19"/>
      <c r="B142" s="86"/>
      <c r="C142" s="23"/>
      <c r="D142" s="23"/>
      <c r="E142" s="67" t="s">
        <v>258</v>
      </c>
      <c r="F142" s="46" t="str">
        <f>IF(F37="25 mV","GND","VDD")</f>
        <v>GND</v>
      </c>
      <c r="G142" s="193" t="s">
        <v>89</v>
      </c>
      <c r="H142" s="23"/>
      <c r="I142" s="120"/>
      <c r="J142" s="23"/>
      <c r="K142" s="23"/>
      <c r="L142" s="23"/>
      <c r="M142" s="23"/>
      <c r="N142" s="23"/>
      <c r="O142" s="23"/>
      <c r="P142" s="23"/>
      <c r="Q142" s="23"/>
      <c r="R142" s="23"/>
      <c r="S142" s="23"/>
      <c r="T142" s="23"/>
      <c r="U142" s="23"/>
      <c r="V142" s="23"/>
      <c r="W142" s="23"/>
      <c r="X142" s="23"/>
      <c r="Y142" s="23"/>
      <c r="Z142" s="23"/>
      <c r="AA142" s="23"/>
      <c r="AB142" s="23"/>
      <c r="AC142" s="23"/>
      <c r="AD142" s="23"/>
      <c r="AE142" s="23"/>
      <c r="AF142" s="23"/>
      <c r="AG142" s="23"/>
      <c r="AH142" s="23"/>
      <c r="AI142" s="23"/>
      <c r="AJ142" s="23"/>
      <c r="AK142" s="23"/>
      <c r="AL142" s="23"/>
      <c r="AM142" s="98"/>
    </row>
    <row r="143" spans="1:40" ht="15" customHeight="1" x14ac:dyDescent="0.2">
      <c r="A143" s="19"/>
      <c r="B143" s="86"/>
      <c r="C143" s="23"/>
      <c r="D143" s="23"/>
      <c r="E143" s="67" t="s">
        <v>257</v>
      </c>
      <c r="F143" s="51" t="str">
        <f>IF(F51="1.8 x Current Limit","GND","VDD")</f>
        <v>GND</v>
      </c>
      <c r="G143" s="193" t="s">
        <v>89</v>
      </c>
      <c r="H143" s="23"/>
      <c r="I143" s="23"/>
      <c r="J143" s="23"/>
      <c r="K143" s="23"/>
      <c r="L143" s="23"/>
      <c r="M143" s="23"/>
      <c r="N143" s="23"/>
      <c r="O143" s="23"/>
      <c r="P143" s="23"/>
      <c r="Q143" s="23"/>
      <c r="R143" s="23"/>
      <c r="S143" s="23"/>
      <c r="T143" s="23"/>
      <c r="U143" s="23"/>
      <c r="V143" s="23"/>
      <c r="W143" s="23"/>
      <c r="X143" s="23"/>
      <c r="Y143" s="23"/>
      <c r="Z143" s="23"/>
      <c r="AA143" s="23"/>
      <c r="AB143" s="23"/>
      <c r="AC143" s="23"/>
      <c r="AD143" s="23"/>
      <c r="AE143" s="23"/>
      <c r="AF143" s="23"/>
      <c r="AG143" s="23"/>
      <c r="AH143" s="23"/>
      <c r="AI143" s="23"/>
      <c r="AJ143" s="23"/>
      <c r="AK143" s="23"/>
      <c r="AL143" s="23"/>
      <c r="AM143" s="98"/>
    </row>
    <row r="144" spans="1:40" ht="15" customHeight="1" x14ac:dyDescent="0.2">
      <c r="A144" s="19"/>
      <c r="B144" s="86"/>
      <c r="C144" s="23"/>
      <c r="D144" s="23"/>
      <c r="E144" s="67" t="s">
        <v>261</v>
      </c>
      <c r="F144" s="117" t="str">
        <f>IF(F50="Retry","GND","VDD")</f>
        <v>GND</v>
      </c>
      <c r="G144" s="193" t="s">
        <v>89</v>
      </c>
      <c r="H144" s="23"/>
      <c r="I144" s="23"/>
      <c r="J144" s="23"/>
      <c r="K144" s="23"/>
      <c r="L144" s="23"/>
      <c r="M144" s="23"/>
      <c r="N144" s="23"/>
      <c r="O144" s="23"/>
      <c r="P144" s="23"/>
      <c r="Q144" s="23"/>
      <c r="R144" s="23"/>
      <c r="S144" s="23"/>
      <c r="T144" s="23"/>
      <c r="U144" s="23"/>
      <c r="V144" s="23"/>
      <c r="W144" s="23"/>
      <c r="X144" s="23"/>
      <c r="Y144" s="23"/>
      <c r="Z144" s="23"/>
      <c r="AA144" s="23"/>
      <c r="AB144" s="23"/>
      <c r="AC144" s="23"/>
      <c r="AD144" s="23"/>
      <c r="AE144" s="23"/>
      <c r="AF144" s="23"/>
      <c r="AG144" s="23"/>
      <c r="AH144" s="23"/>
      <c r="AI144" s="23"/>
      <c r="AJ144" s="23"/>
      <c r="AK144" s="23"/>
      <c r="AL144" s="23"/>
      <c r="AM144" s="98"/>
      <c r="AN144" s="33"/>
    </row>
    <row r="145" spans="1:40" ht="15" customHeight="1" x14ac:dyDescent="0.2">
      <c r="A145" s="19"/>
      <c r="B145" s="86"/>
      <c r="C145" s="23"/>
      <c r="D145" s="23"/>
      <c r="E145" s="282" t="s">
        <v>504</v>
      </c>
      <c r="F145" s="285" t="str">
        <f>F52</f>
        <v>PSMN3R7-100BSEJ</v>
      </c>
      <c r="G145" s="194"/>
      <c r="H145" s="23"/>
      <c r="I145" s="23"/>
      <c r="J145" s="23"/>
      <c r="K145" s="23"/>
      <c r="L145" s="23"/>
      <c r="M145" s="23"/>
      <c r="N145" s="23"/>
      <c r="O145" s="23"/>
      <c r="P145" s="23"/>
      <c r="Q145" s="23"/>
      <c r="R145" s="23"/>
      <c r="S145" s="23"/>
      <c r="T145" s="23"/>
      <c r="U145" s="23"/>
      <c r="V145" s="23"/>
      <c r="W145" s="23"/>
      <c r="X145" s="23"/>
      <c r="Y145" s="23"/>
      <c r="Z145" s="23"/>
      <c r="AA145" s="23"/>
      <c r="AB145" s="23"/>
      <c r="AC145" s="23"/>
      <c r="AD145" s="23"/>
      <c r="AE145" s="23"/>
      <c r="AF145" s="23"/>
      <c r="AG145" s="23"/>
      <c r="AH145" s="23"/>
      <c r="AI145" s="23"/>
      <c r="AJ145" s="23"/>
      <c r="AK145" s="23"/>
      <c r="AL145" s="23"/>
      <c r="AM145" s="98"/>
      <c r="AN145" s="33"/>
    </row>
    <row r="146" spans="1:40" ht="15" customHeight="1" x14ac:dyDescent="0.2">
      <c r="A146" s="19"/>
      <c r="B146" s="86"/>
      <c r="C146" s="23"/>
      <c r="D146" s="23"/>
      <c r="E146" s="284" t="s">
        <v>505</v>
      </c>
      <c r="F146" s="285" t="s">
        <v>490</v>
      </c>
      <c r="G146" s="194"/>
      <c r="H146" s="23"/>
      <c r="I146" s="23"/>
      <c r="J146" s="23"/>
      <c r="K146" s="23"/>
      <c r="L146" s="23"/>
      <c r="M146" s="23"/>
      <c r="N146" s="23"/>
      <c r="O146" s="23"/>
      <c r="P146" s="23"/>
      <c r="Q146" s="23"/>
      <c r="R146" s="23"/>
      <c r="S146" s="23"/>
      <c r="T146" s="23"/>
      <c r="U146" s="23"/>
      <c r="V146" s="23"/>
      <c r="W146" s="23"/>
      <c r="X146" s="23"/>
      <c r="Y146" s="23"/>
      <c r="Z146" s="23"/>
      <c r="AA146" s="23"/>
      <c r="AB146" s="23"/>
      <c r="AC146" s="23"/>
      <c r="AD146" s="23"/>
      <c r="AE146" s="23"/>
      <c r="AF146" s="23"/>
      <c r="AG146" s="23"/>
      <c r="AH146" s="23"/>
      <c r="AI146" s="23"/>
      <c r="AJ146" s="23"/>
      <c r="AK146" s="23"/>
      <c r="AL146" s="23"/>
      <c r="AM146" s="98"/>
      <c r="AN146" s="33"/>
    </row>
    <row r="147" spans="1:40" ht="15" customHeight="1" x14ac:dyDescent="0.2">
      <c r="A147" s="19"/>
      <c r="B147" s="86"/>
      <c r="C147" s="23"/>
      <c r="E147" s="284" t="s">
        <v>506</v>
      </c>
      <c r="F147" s="285" t="s">
        <v>498</v>
      </c>
      <c r="G147" s="194"/>
      <c r="H147" s="23"/>
      <c r="I147" s="23"/>
      <c r="J147" s="23"/>
      <c r="K147" s="23"/>
      <c r="L147" s="23"/>
      <c r="M147" s="23"/>
      <c r="N147" s="23"/>
      <c r="O147" s="23"/>
      <c r="P147" s="23"/>
      <c r="Q147" s="23"/>
      <c r="R147" s="23"/>
      <c r="S147" s="23"/>
      <c r="T147" s="23"/>
      <c r="U147" s="23"/>
      <c r="V147" s="23"/>
      <c r="W147" s="23"/>
      <c r="X147" s="23"/>
      <c r="Y147" s="23"/>
      <c r="Z147" s="23"/>
      <c r="AA147" s="23"/>
      <c r="AB147" s="23"/>
      <c r="AC147" s="23"/>
      <c r="AD147" s="23"/>
      <c r="AE147" s="23"/>
      <c r="AF147" s="23"/>
      <c r="AG147" s="23"/>
      <c r="AH147" s="23"/>
      <c r="AI147" s="23"/>
      <c r="AJ147" s="23"/>
      <c r="AK147" s="23"/>
      <c r="AL147" s="23"/>
      <c r="AM147" s="98"/>
      <c r="AN147" s="33"/>
    </row>
    <row r="148" spans="1:40" ht="15" customHeight="1" x14ac:dyDescent="0.2">
      <c r="A148" s="19"/>
      <c r="B148" s="86"/>
      <c r="C148" s="23"/>
      <c r="D148" s="23"/>
      <c r="E148" s="283" t="s">
        <v>507</v>
      </c>
      <c r="F148" s="285" t="s">
        <v>495</v>
      </c>
      <c r="G148" s="194"/>
      <c r="H148" s="23"/>
      <c r="I148" s="23"/>
      <c r="J148" s="23"/>
      <c r="K148" s="23"/>
      <c r="L148" s="23"/>
      <c r="M148" s="23"/>
      <c r="N148" s="23"/>
      <c r="O148" s="23"/>
      <c r="P148" s="23"/>
      <c r="Q148" s="23"/>
      <c r="R148" s="23"/>
      <c r="S148" s="23"/>
      <c r="T148" s="23"/>
      <c r="U148" s="23"/>
      <c r="V148" s="23"/>
      <c r="W148" s="23"/>
      <c r="X148" s="23"/>
      <c r="Y148" s="23"/>
      <c r="Z148" s="23"/>
      <c r="AA148" s="23"/>
      <c r="AB148" s="23"/>
      <c r="AC148" s="23"/>
      <c r="AD148" s="23"/>
      <c r="AE148" s="23"/>
      <c r="AF148" s="23"/>
      <c r="AG148" s="23"/>
      <c r="AH148" s="23"/>
      <c r="AI148" s="23"/>
      <c r="AJ148" s="23"/>
      <c r="AK148" s="23"/>
      <c r="AL148" s="23"/>
      <c r="AM148" s="98"/>
      <c r="AN148" s="33"/>
    </row>
    <row r="149" spans="1:40" ht="15" customHeight="1" x14ac:dyDescent="0.2">
      <c r="A149" s="19"/>
      <c r="B149" s="86"/>
      <c r="C149" s="23"/>
      <c r="D149" s="23"/>
      <c r="E149" s="284"/>
      <c r="F149" s="194"/>
      <c r="G149" s="194"/>
      <c r="H149" s="23"/>
      <c r="I149" s="23"/>
      <c r="J149" s="23"/>
      <c r="K149" s="23"/>
      <c r="L149" s="23"/>
      <c r="M149" s="23"/>
      <c r="N149" s="23"/>
      <c r="O149" s="23"/>
      <c r="P149" s="23"/>
      <c r="Q149" s="23"/>
      <c r="R149" s="23"/>
      <c r="S149" s="23"/>
      <c r="T149" s="23"/>
      <c r="U149" s="23"/>
      <c r="V149" s="23"/>
      <c r="W149" s="23"/>
      <c r="X149" s="23"/>
      <c r="Y149" s="23"/>
      <c r="Z149" s="23"/>
      <c r="AA149" s="23"/>
      <c r="AB149" s="23"/>
      <c r="AC149" s="23"/>
      <c r="AD149" s="23"/>
      <c r="AE149" s="23"/>
      <c r="AF149" s="23"/>
      <c r="AG149" s="23"/>
      <c r="AH149" s="23"/>
      <c r="AI149" s="23"/>
      <c r="AJ149" s="23"/>
      <c r="AK149" s="23"/>
      <c r="AL149" s="23"/>
      <c r="AM149" s="98"/>
      <c r="AN149" s="33"/>
    </row>
    <row r="150" spans="1:40" ht="15" customHeight="1" x14ac:dyDescent="0.2">
      <c r="A150" s="19"/>
      <c r="B150" s="86"/>
      <c r="C150" s="23"/>
      <c r="D150" s="23"/>
      <c r="E150" s="67"/>
      <c r="F150" s="135"/>
      <c r="G150" s="194"/>
      <c r="H150" s="23"/>
      <c r="I150" s="23"/>
      <c r="J150" s="23"/>
      <c r="K150" s="23"/>
      <c r="L150" s="23"/>
      <c r="M150" s="23"/>
      <c r="N150" s="23"/>
      <c r="O150" s="23"/>
      <c r="P150" s="23"/>
      <c r="Q150" s="23"/>
      <c r="R150" s="23"/>
      <c r="S150" s="23"/>
      <c r="T150" s="23"/>
      <c r="U150" s="23"/>
      <c r="V150" s="23"/>
      <c r="W150" s="23"/>
      <c r="X150" s="23"/>
      <c r="Y150" s="23"/>
      <c r="Z150" s="23"/>
      <c r="AA150" s="23"/>
      <c r="AB150" s="23"/>
      <c r="AC150" s="23"/>
      <c r="AD150" s="23"/>
      <c r="AE150" s="23"/>
      <c r="AF150" s="23"/>
      <c r="AG150" s="23"/>
      <c r="AH150" s="23"/>
      <c r="AI150" s="23"/>
      <c r="AJ150" s="23"/>
      <c r="AK150" s="23"/>
      <c r="AL150" s="23"/>
      <c r="AM150" s="98"/>
      <c r="AN150" s="33"/>
    </row>
    <row r="151" spans="1:40" ht="15.75" x14ac:dyDescent="0.3">
      <c r="A151" s="19"/>
      <c r="B151" s="281" t="s">
        <v>21</v>
      </c>
      <c r="C151" s="35" t="s">
        <v>96</v>
      </c>
      <c r="D151" s="22"/>
      <c r="E151" s="35"/>
      <c r="F151" s="122"/>
      <c r="G151" s="194"/>
      <c r="H151" s="23"/>
      <c r="I151" s="23"/>
      <c r="J151" s="23"/>
      <c r="K151" s="23"/>
      <c r="L151" s="23"/>
      <c r="M151" s="23"/>
      <c r="N151" s="23"/>
      <c r="O151" s="23"/>
      <c r="P151" s="23"/>
      <c r="Q151" s="23"/>
      <c r="R151" s="23"/>
      <c r="S151" s="23"/>
      <c r="T151" s="23"/>
      <c r="U151" s="23"/>
      <c r="V151" s="23"/>
      <c r="W151" s="23"/>
      <c r="X151" s="23"/>
      <c r="Y151" s="23"/>
      <c r="Z151" s="23"/>
      <c r="AA151" s="23"/>
      <c r="AB151" s="23"/>
      <c r="AC151" s="23"/>
      <c r="AD151" s="23"/>
      <c r="AE151" s="23"/>
      <c r="AF151" s="23"/>
      <c r="AG151" s="23"/>
      <c r="AH151" s="23"/>
      <c r="AI151" s="23"/>
      <c r="AJ151" s="23"/>
      <c r="AK151" s="23"/>
      <c r="AL151" s="23"/>
      <c r="AM151" s="98"/>
      <c r="AN151" s="33"/>
    </row>
    <row r="152" spans="1:40" x14ac:dyDescent="0.2">
      <c r="A152" s="19"/>
      <c r="B152" s="86"/>
      <c r="C152" s="35" t="s">
        <v>119</v>
      </c>
      <c r="D152" s="23"/>
      <c r="E152" s="35"/>
      <c r="F152" s="23"/>
      <c r="G152" s="194"/>
      <c r="H152" s="23"/>
      <c r="I152" s="23"/>
      <c r="J152" s="23"/>
      <c r="K152" s="23"/>
      <c r="L152" s="23"/>
      <c r="M152" s="23"/>
      <c r="N152" s="23"/>
      <c r="O152" s="23"/>
      <c r="P152" s="23"/>
      <c r="Q152" s="23"/>
      <c r="R152" s="23"/>
      <c r="S152" s="23"/>
      <c r="T152" s="23"/>
      <c r="U152" s="23"/>
      <c r="V152" s="23"/>
      <c r="W152" s="23"/>
      <c r="X152" s="23"/>
      <c r="Y152" s="23"/>
      <c r="Z152" s="23"/>
      <c r="AA152" s="23"/>
      <c r="AB152" s="23"/>
      <c r="AC152" s="23"/>
      <c r="AD152" s="23"/>
      <c r="AE152" s="23"/>
      <c r="AF152" s="23"/>
      <c r="AG152" s="23"/>
      <c r="AH152" s="23"/>
      <c r="AI152" s="23"/>
      <c r="AJ152" s="23"/>
      <c r="AK152" s="23"/>
      <c r="AL152" s="23"/>
      <c r="AM152" s="98"/>
    </row>
    <row r="153" spans="1:40" x14ac:dyDescent="0.2">
      <c r="A153" s="19"/>
      <c r="B153" s="86"/>
      <c r="C153" s="35" t="s">
        <v>288</v>
      </c>
      <c r="D153" s="23"/>
      <c r="E153" s="35"/>
      <c r="F153" s="23"/>
      <c r="G153" s="194"/>
      <c r="H153" s="23"/>
      <c r="I153" s="23"/>
      <c r="J153" s="23"/>
      <c r="K153" s="23"/>
      <c r="L153" s="23"/>
      <c r="M153" s="23"/>
      <c r="N153" s="23"/>
      <c r="O153" s="23"/>
      <c r="P153" s="23"/>
      <c r="Q153" s="23"/>
      <c r="R153" s="23"/>
      <c r="S153" s="23"/>
      <c r="T153" s="23"/>
      <c r="U153" s="23"/>
      <c r="V153" s="23"/>
      <c r="W153" s="23"/>
      <c r="X153" s="23"/>
      <c r="Y153" s="23"/>
      <c r="Z153" s="23"/>
      <c r="AA153" s="23"/>
      <c r="AB153" s="23"/>
      <c r="AC153" s="23"/>
      <c r="AD153" s="23"/>
      <c r="AE153" s="23"/>
      <c r="AF153" s="23"/>
      <c r="AG153" s="23"/>
      <c r="AH153" s="23"/>
      <c r="AI153" s="23"/>
      <c r="AJ153" s="23"/>
      <c r="AK153" s="23"/>
      <c r="AL153" s="23"/>
      <c r="AM153" s="98"/>
    </row>
    <row r="154" spans="1:40" ht="13.5" thickBot="1" x14ac:dyDescent="0.25">
      <c r="A154" s="19"/>
      <c r="B154" s="87"/>
      <c r="C154" s="88"/>
      <c r="D154" s="88"/>
      <c r="E154" s="123"/>
      <c r="F154" s="88"/>
      <c r="G154" s="196"/>
      <c r="H154" s="88"/>
      <c r="I154" s="88"/>
      <c r="J154" s="88"/>
      <c r="K154" s="88"/>
      <c r="L154" s="88"/>
      <c r="M154" s="88"/>
      <c r="N154" s="88"/>
      <c r="O154" s="88"/>
      <c r="P154" s="88"/>
      <c r="Q154" s="88"/>
      <c r="R154" s="88"/>
      <c r="S154" s="88"/>
      <c r="T154" s="88"/>
      <c r="U154" s="88"/>
      <c r="V154" s="88"/>
      <c r="W154" s="88"/>
      <c r="X154" s="88"/>
      <c r="Y154" s="88"/>
      <c r="Z154" s="88"/>
      <c r="AA154" s="88"/>
      <c r="AB154" s="88"/>
      <c r="AC154" s="88"/>
      <c r="AD154" s="88"/>
      <c r="AE154" s="88"/>
      <c r="AF154" s="88"/>
      <c r="AG154" s="88"/>
      <c r="AH154" s="88"/>
      <c r="AI154" s="88"/>
      <c r="AJ154" s="88"/>
      <c r="AK154" s="88"/>
      <c r="AL154" s="88"/>
      <c r="AM154" s="102"/>
    </row>
    <row r="155" spans="1:40" x14ac:dyDescent="0.2">
      <c r="A155" s="19"/>
      <c r="B155" s="19"/>
      <c r="C155" s="19"/>
      <c r="D155" s="19"/>
      <c r="E155" s="19"/>
      <c r="F155" s="32"/>
      <c r="G155" s="20"/>
      <c r="H155" s="19"/>
      <c r="I155" s="19"/>
      <c r="J155" s="19"/>
      <c r="K155" s="19"/>
      <c r="L155" s="19"/>
      <c r="M155" s="19"/>
      <c r="N155" s="19"/>
      <c r="O155" s="19"/>
      <c r="P155" s="19"/>
      <c r="Q155" s="19"/>
      <c r="R155" s="19"/>
      <c r="S155" s="19"/>
      <c r="T155" s="19"/>
      <c r="U155" s="19"/>
      <c r="V155" s="19"/>
      <c r="W155" s="19"/>
      <c r="X155" s="19"/>
      <c r="Y155" s="19"/>
      <c r="Z155" s="19"/>
      <c r="AA155" s="19"/>
      <c r="AB155" s="19"/>
      <c r="AC155" s="19"/>
      <c r="AD155" s="19"/>
      <c r="AE155" s="19"/>
      <c r="AF155" s="19"/>
      <c r="AG155" s="19"/>
      <c r="AH155" s="19"/>
      <c r="AI155" s="19"/>
      <c r="AJ155" s="19"/>
      <c r="AK155" s="19"/>
      <c r="AL155" s="19"/>
      <c r="AM155" s="19"/>
    </row>
    <row r="156" spans="1:40" ht="15" x14ac:dyDescent="0.25">
      <c r="A156" s="19"/>
      <c r="B156" s="43"/>
      <c r="C156" s="19"/>
      <c r="D156" s="19"/>
      <c r="E156" s="19"/>
      <c r="F156" s="36"/>
      <c r="G156" s="195"/>
      <c r="H156" s="19"/>
      <c r="J156" s="19"/>
      <c r="K156" s="19"/>
      <c r="L156" s="19"/>
      <c r="M156" s="19"/>
      <c r="N156" s="19"/>
      <c r="O156" s="19"/>
      <c r="P156" s="19"/>
      <c r="Q156" s="19"/>
      <c r="R156" s="19"/>
      <c r="S156" s="19"/>
      <c r="T156" s="19"/>
      <c r="U156" s="19"/>
      <c r="V156" s="19"/>
      <c r="W156" s="19"/>
      <c r="X156" s="19"/>
      <c r="Y156" s="19"/>
      <c r="Z156" s="19"/>
      <c r="AA156" s="19"/>
      <c r="AB156" s="19"/>
      <c r="AC156" s="19"/>
      <c r="AD156" s="19"/>
      <c r="AE156" s="19"/>
      <c r="AF156" s="19"/>
      <c r="AG156" s="19"/>
      <c r="AH156" s="19"/>
      <c r="AI156" s="19"/>
      <c r="AJ156" s="19"/>
      <c r="AK156" s="19"/>
      <c r="AL156" s="19"/>
      <c r="AM156" s="19"/>
    </row>
    <row r="157" spans="1:40" x14ac:dyDescent="0.2">
      <c r="A157" s="19"/>
      <c r="B157" s="19"/>
      <c r="C157" s="19"/>
      <c r="D157" s="19"/>
      <c r="E157" s="19"/>
      <c r="F157" s="36"/>
      <c r="G157" s="195"/>
      <c r="H157" s="19"/>
      <c r="I157" s="19"/>
      <c r="J157" s="19"/>
      <c r="K157" s="19"/>
      <c r="L157" s="19"/>
      <c r="M157" s="19"/>
      <c r="N157" s="19"/>
      <c r="O157" s="19"/>
      <c r="P157" s="19"/>
      <c r="Q157" s="19"/>
      <c r="R157" s="19"/>
      <c r="S157" s="19"/>
      <c r="T157" s="19"/>
      <c r="U157" s="19"/>
      <c r="V157" s="19"/>
      <c r="W157" s="19"/>
      <c r="X157" s="19"/>
      <c r="Y157" s="19"/>
      <c r="Z157" s="19"/>
      <c r="AA157" s="19"/>
      <c r="AB157" s="19"/>
      <c r="AC157" s="19"/>
      <c r="AD157" s="19"/>
      <c r="AE157" s="19"/>
      <c r="AF157" s="19"/>
      <c r="AG157" s="19"/>
      <c r="AH157" s="19"/>
      <c r="AI157" s="19"/>
      <c r="AJ157" s="19"/>
      <c r="AK157" s="19"/>
      <c r="AL157" s="19"/>
      <c r="AM157" s="19"/>
    </row>
    <row r="158" spans="1:40" x14ac:dyDescent="0.2">
      <c r="A158" s="19"/>
      <c r="B158" s="19"/>
      <c r="C158" s="19"/>
      <c r="D158" s="19"/>
      <c r="E158" s="19"/>
      <c r="F158" s="36"/>
      <c r="H158" s="19"/>
      <c r="I158" s="19"/>
      <c r="J158" s="19"/>
      <c r="K158" s="19"/>
      <c r="L158" s="19"/>
      <c r="M158" s="19"/>
      <c r="N158" s="19"/>
      <c r="O158" s="19"/>
      <c r="P158" s="19"/>
      <c r="Q158" s="19"/>
      <c r="R158" s="19"/>
      <c r="S158" s="19"/>
      <c r="T158" s="19"/>
      <c r="U158" s="19"/>
      <c r="V158" s="19"/>
      <c r="W158" s="19"/>
      <c r="X158" s="19"/>
      <c r="Y158" s="19"/>
      <c r="Z158" s="19"/>
      <c r="AA158" s="19"/>
      <c r="AB158" s="19"/>
      <c r="AC158" s="19"/>
      <c r="AD158" s="19"/>
      <c r="AE158" s="19"/>
      <c r="AF158" s="19"/>
      <c r="AG158" s="19"/>
      <c r="AH158" s="19"/>
      <c r="AI158" s="19"/>
      <c r="AJ158" s="19"/>
      <c r="AK158" s="19"/>
      <c r="AL158" s="19"/>
      <c r="AM158" s="19"/>
    </row>
    <row r="159" spans="1:40" x14ac:dyDescent="0.2">
      <c r="A159" s="19"/>
      <c r="B159" s="19"/>
      <c r="C159" s="19"/>
      <c r="D159" s="19"/>
      <c r="E159" s="19"/>
      <c r="F159" s="36"/>
      <c r="G159" s="197"/>
      <c r="H159" s="19"/>
      <c r="I159" s="19"/>
      <c r="J159" s="19"/>
      <c r="K159" s="19"/>
      <c r="L159" s="19"/>
      <c r="M159" s="19"/>
      <c r="N159" s="19"/>
      <c r="O159" s="19"/>
      <c r="P159" s="19"/>
      <c r="Q159" s="19"/>
      <c r="R159" s="19"/>
      <c r="S159" s="19"/>
      <c r="T159" s="19"/>
      <c r="U159" s="19"/>
      <c r="V159" s="19"/>
      <c r="W159" s="19"/>
      <c r="X159" s="19"/>
      <c r="Y159" s="19"/>
      <c r="Z159" s="19"/>
      <c r="AA159" s="19"/>
      <c r="AB159" s="19"/>
      <c r="AC159" s="19"/>
      <c r="AD159" s="19"/>
      <c r="AE159" s="19"/>
      <c r="AF159" s="19"/>
      <c r="AG159" s="19"/>
      <c r="AH159" s="19"/>
      <c r="AI159" s="19"/>
      <c r="AJ159" s="19"/>
      <c r="AK159" s="19"/>
      <c r="AL159" s="19"/>
      <c r="AM159" s="19"/>
    </row>
    <row r="160" spans="1:40" x14ac:dyDescent="0.2">
      <c r="A160" s="19"/>
      <c r="B160" s="19"/>
      <c r="C160" s="19"/>
      <c r="D160" s="19"/>
      <c r="E160" s="19"/>
      <c r="F160" s="36"/>
      <c r="G160" s="197"/>
      <c r="H160" s="19"/>
      <c r="I160" s="19"/>
      <c r="J160" s="19"/>
      <c r="K160" s="19"/>
      <c r="L160" s="19"/>
      <c r="M160" s="19"/>
      <c r="N160" s="19"/>
      <c r="O160" s="19"/>
      <c r="P160" s="19"/>
      <c r="Q160" s="19"/>
      <c r="R160" s="19"/>
      <c r="S160" s="19"/>
      <c r="T160" s="19"/>
      <c r="U160" s="19"/>
      <c r="V160" s="19"/>
      <c r="W160" s="19"/>
      <c r="X160" s="19"/>
      <c r="Y160" s="19"/>
      <c r="Z160" s="19"/>
      <c r="AA160" s="19"/>
      <c r="AB160" s="19"/>
      <c r="AC160" s="19"/>
      <c r="AD160" s="19"/>
      <c r="AE160" s="19"/>
      <c r="AF160" s="19"/>
      <c r="AG160" s="19"/>
      <c r="AH160" s="19"/>
      <c r="AI160" s="19"/>
      <c r="AJ160" s="19"/>
      <c r="AK160" s="19"/>
      <c r="AL160" s="19"/>
      <c r="AM160" s="19"/>
    </row>
    <row r="161" spans="1:39" x14ac:dyDescent="0.2">
      <c r="A161" s="19"/>
      <c r="B161" s="19"/>
      <c r="C161" s="19"/>
      <c r="D161" s="19"/>
      <c r="E161" s="19"/>
      <c r="F161" s="36"/>
      <c r="G161" s="197"/>
      <c r="H161" s="36"/>
      <c r="I161" s="36"/>
      <c r="J161" s="36"/>
      <c r="K161" s="19"/>
      <c r="L161" s="19"/>
      <c r="M161" s="19"/>
      <c r="N161" s="19"/>
      <c r="O161" s="19"/>
      <c r="P161" s="19"/>
      <c r="Q161" s="19"/>
      <c r="R161" s="19"/>
      <c r="S161" s="19"/>
      <c r="T161" s="19"/>
      <c r="U161" s="19"/>
      <c r="V161" s="19"/>
      <c r="W161" s="19"/>
      <c r="X161" s="19"/>
      <c r="Y161" s="19"/>
      <c r="Z161" s="19"/>
      <c r="AA161" s="19"/>
      <c r="AB161" s="19"/>
      <c r="AC161" s="19"/>
      <c r="AD161" s="19"/>
      <c r="AE161" s="19"/>
      <c r="AF161" s="19"/>
      <c r="AG161" s="19"/>
      <c r="AH161" s="19"/>
      <c r="AI161" s="19"/>
      <c r="AJ161" s="19"/>
      <c r="AK161" s="19"/>
      <c r="AL161" s="19"/>
      <c r="AM161" s="19"/>
    </row>
    <row r="162" spans="1:39" x14ac:dyDescent="0.2">
      <c r="A162" s="19"/>
      <c r="B162" s="19"/>
      <c r="C162" s="19"/>
      <c r="D162" s="19"/>
      <c r="E162" s="19"/>
      <c r="F162" s="36"/>
      <c r="G162" s="197"/>
      <c r="H162" s="36"/>
      <c r="I162" s="36"/>
      <c r="J162" s="36"/>
      <c r="K162" s="19"/>
      <c r="L162" s="19"/>
      <c r="M162" s="19"/>
      <c r="N162" s="19"/>
      <c r="O162" s="19"/>
      <c r="P162" s="19"/>
      <c r="Q162" s="19"/>
      <c r="R162" s="19"/>
      <c r="S162" s="19"/>
      <c r="T162" s="19"/>
      <c r="U162" s="19"/>
      <c r="V162" s="19"/>
      <c r="W162" s="19"/>
      <c r="X162" s="19"/>
      <c r="Y162" s="19"/>
      <c r="Z162" s="19"/>
      <c r="AA162" s="19"/>
      <c r="AB162" s="19"/>
      <c r="AC162" s="19"/>
      <c r="AD162" s="19"/>
      <c r="AE162" s="19"/>
      <c r="AF162" s="19"/>
      <c r="AG162" s="19"/>
      <c r="AH162" s="19"/>
      <c r="AI162" s="19"/>
      <c r="AJ162" s="19"/>
      <c r="AK162" s="19"/>
      <c r="AL162" s="19"/>
      <c r="AM162" s="19"/>
    </row>
    <row r="163" spans="1:39" x14ac:dyDescent="0.2">
      <c r="A163" s="19"/>
      <c r="B163" s="19"/>
      <c r="C163" s="19"/>
      <c r="D163" s="19"/>
      <c r="E163" s="19"/>
      <c r="F163" s="36"/>
      <c r="G163" s="197"/>
      <c r="H163" s="19"/>
      <c r="I163" s="19"/>
      <c r="J163" s="19"/>
      <c r="K163" s="19"/>
      <c r="L163" s="19"/>
      <c r="M163" s="19"/>
      <c r="N163" s="19"/>
      <c r="O163" s="19"/>
      <c r="P163" s="19"/>
      <c r="Q163" s="19"/>
      <c r="R163" s="19"/>
      <c r="S163" s="19"/>
      <c r="T163" s="19"/>
      <c r="U163" s="19"/>
      <c r="V163" s="19"/>
      <c r="W163" s="19"/>
      <c r="X163" s="19"/>
      <c r="Y163" s="19"/>
      <c r="Z163" s="19"/>
      <c r="AA163" s="19"/>
      <c r="AB163" s="19"/>
      <c r="AC163" s="19"/>
      <c r="AD163" s="19"/>
      <c r="AE163" s="19"/>
      <c r="AF163" s="19"/>
      <c r="AG163" s="19"/>
      <c r="AH163" s="19"/>
      <c r="AI163" s="19"/>
      <c r="AJ163" s="19"/>
      <c r="AK163" s="19"/>
      <c r="AL163" s="19"/>
      <c r="AM163" s="19"/>
    </row>
    <row r="164" spans="1:39" x14ac:dyDescent="0.2">
      <c r="A164" s="19"/>
      <c r="B164" s="19"/>
      <c r="C164" s="19"/>
      <c r="D164" s="19"/>
      <c r="E164" s="19"/>
      <c r="F164" s="19"/>
      <c r="G164" s="197"/>
      <c r="H164" s="19"/>
      <c r="I164" s="19"/>
      <c r="J164" s="19"/>
      <c r="K164" s="19"/>
      <c r="L164" s="19"/>
      <c r="M164" s="19"/>
      <c r="N164" s="19"/>
      <c r="O164" s="19"/>
      <c r="P164" s="19"/>
      <c r="Q164" s="19"/>
      <c r="R164" s="19"/>
      <c r="S164" s="19"/>
      <c r="T164" s="19"/>
      <c r="U164" s="19"/>
      <c r="V164" s="19"/>
      <c r="W164" s="19"/>
      <c r="X164" s="19"/>
      <c r="Y164" s="19"/>
      <c r="Z164" s="19"/>
      <c r="AA164" s="19"/>
      <c r="AB164" s="19"/>
      <c r="AC164" s="19"/>
      <c r="AD164" s="19"/>
      <c r="AE164" s="19"/>
      <c r="AF164" s="19"/>
      <c r="AG164" s="19"/>
      <c r="AH164" s="19"/>
      <c r="AI164" s="19"/>
      <c r="AJ164" s="19"/>
      <c r="AK164" s="19"/>
      <c r="AL164" s="19"/>
      <c r="AM164" s="19"/>
    </row>
    <row r="165" spans="1:39" x14ac:dyDescent="0.2">
      <c r="A165" s="19"/>
      <c r="B165" s="19"/>
      <c r="C165" s="19"/>
      <c r="D165" s="19"/>
      <c r="E165" s="19"/>
      <c r="F165" s="36"/>
      <c r="G165" s="197"/>
      <c r="H165" s="36"/>
      <c r="I165" s="36"/>
      <c r="J165" s="36"/>
      <c r="K165" s="36"/>
      <c r="L165" s="36"/>
      <c r="M165" s="19"/>
      <c r="N165" s="19"/>
      <c r="O165" s="19"/>
      <c r="P165" s="19"/>
      <c r="Q165" s="19"/>
      <c r="R165" s="19"/>
      <c r="S165" s="19"/>
      <c r="T165" s="19"/>
      <c r="U165" s="19"/>
      <c r="V165" s="19"/>
      <c r="W165" s="19"/>
      <c r="X165" s="19"/>
      <c r="Y165" s="19"/>
      <c r="Z165" s="19"/>
      <c r="AA165" s="19"/>
      <c r="AB165" s="19"/>
      <c r="AC165" s="19"/>
      <c r="AD165" s="19"/>
      <c r="AE165" s="19"/>
      <c r="AF165" s="19"/>
      <c r="AG165" s="19"/>
      <c r="AH165" s="19"/>
      <c r="AI165" s="19"/>
      <c r="AJ165" s="19"/>
      <c r="AK165" s="19"/>
      <c r="AL165" s="19"/>
      <c r="AM165" s="19"/>
    </row>
    <row r="166" spans="1:39" x14ac:dyDescent="0.2">
      <c r="A166" s="19"/>
      <c r="B166" s="19"/>
      <c r="C166" s="19"/>
      <c r="D166" s="19"/>
      <c r="E166" s="19"/>
      <c r="F166" s="36"/>
      <c r="G166" s="197"/>
      <c r="H166" s="36"/>
      <c r="I166" s="36"/>
      <c r="J166" s="36"/>
      <c r="K166" s="36"/>
      <c r="L166" s="36"/>
      <c r="M166" s="19"/>
      <c r="N166" s="19"/>
      <c r="O166" s="19"/>
      <c r="P166" s="19"/>
      <c r="Q166" s="19"/>
      <c r="R166" s="19"/>
      <c r="S166" s="19"/>
      <c r="T166" s="19"/>
      <c r="U166" s="19"/>
      <c r="V166" s="19"/>
      <c r="W166" s="19"/>
      <c r="X166" s="19"/>
      <c r="Y166" s="19"/>
      <c r="Z166" s="19"/>
      <c r="AA166" s="19"/>
      <c r="AB166" s="19"/>
      <c r="AC166" s="19"/>
      <c r="AD166" s="19"/>
      <c r="AE166" s="19"/>
      <c r="AF166" s="19"/>
      <c r="AG166" s="19"/>
      <c r="AH166" s="19"/>
      <c r="AI166" s="19"/>
      <c r="AJ166" s="19"/>
      <c r="AK166" s="19"/>
      <c r="AL166" s="19"/>
      <c r="AM166" s="19"/>
    </row>
    <row r="167" spans="1:39" x14ac:dyDescent="0.2">
      <c r="A167" s="19"/>
      <c r="B167" s="19"/>
      <c r="C167" s="19"/>
      <c r="D167" s="19"/>
      <c r="E167" s="19"/>
      <c r="F167" s="36"/>
      <c r="G167" s="20"/>
      <c r="H167" s="36"/>
      <c r="I167" s="36"/>
      <c r="J167" s="36"/>
      <c r="K167" s="36"/>
      <c r="L167" s="36"/>
      <c r="M167" s="19"/>
      <c r="N167" s="19"/>
      <c r="O167" s="19"/>
      <c r="P167" s="19"/>
      <c r="Q167" s="19"/>
      <c r="R167" s="19"/>
      <c r="S167" s="19"/>
      <c r="T167" s="19"/>
      <c r="U167" s="19"/>
      <c r="V167" s="19"/>
      <c r="W167" s="19"/>
      <c r="X167" s="19"/>
      <c r="Y167" s="19"/>
      <c r="Z167" s="19"/>
      <c r="AA167" s="19"/>
      <c r="AB167" s="19"/>
      <c r="AC167" s="19"/>
      <c r="AD167" s="19"/>
      <c r="AE167" s="19"/>
      <c r="AF167" s="19"/>
      <c r="AG167" s="19"/>
      <c r="AH167" s="19"/>
      <c r="AI167" s="19"/>
      <c r="AJ167" s="19"/>
      <c r="AK167" s="19"/>
      <c r="AL167" s="19"/>
      <c r="AM167" s="19"/>
    </row>
    <row r="168" spans="1:39" x14ac:dyDescent="0.2">
      <c r="A168" s="19"/>
      <c r="B168" s="19"/>
      <c r="C168" s="19"/>
      <c r="D168" s="19"/>
      <c r="E168" s="19"/>
      <c r="F168" s="36"/>
      <c r="G168" s="197"/>
      <c r="H168" s="36"/>
      <c r="I168" s="36"/>
      <c r="J168" s="36"/>
      <c r="K168" s="36"/>
      <c r="L168" s="36"/>
      <c r="M168" s="19"/>
      <c r="N168" s="19"/>
      <c r="O168" s="19"/>
      <c r="P168" s="19"/>
      <c r="Q168" s="19"/>
      <c r="R168" s="19"/>
      <c r="S168" s="19"/>
      <c r="T168" s="19"/>
      <c r="U168" s="19"/>
      <c r="V168" s="19"/>
      <c r="W168" s="19"/>
      <c r="X168" s="19"/>
      <c r="Y168" s="19"/>
      <c r="Z168" s="19"/>
      <c r="AA168" s="19"/>
      <c r="AB168" s="19"/>
      <c r="AC168" s="19"/>
      <c r="AD168" s="19"/>
      <c r="AE168" s="19"/>
      <c r="AF168" s="19"/>
      <c r="AG168" s="19"/>
      <c r="AH168" s="19"/>
      <c r="AI168" s="19"/>
      <c r="AJ168" s="19"/>
      <c r="AK168" s="19"/>
      <c r="AL168" s="19"/>
      <c r="AM168" s="19"/>
    </row>
    <row r="169" spans="1:39" x14ac:dyDescent="0.2">
      <c r="A169" s="19"/>
      <c r="B169" s="19"/>
      <c r="C169" s="19"/>
      <c r="D169" s="19"/>
      <c r="E169" s="19"/>
      <c r="F169" s="36"/>
      <c r="G169" s="197"/>
      <c r="H169" s="36"/>
      <c r="I169" s="36"/>
      <c r="J169" s="36"/>
      <c r="K169" s="36"/>
      <c r="L169" s="36"/>
      <c r="M169" s="19"/>
      <c r="N169" s="19"/>
      <c r="O169" s="19"/>
      <c r="P169" s="19"/>
      <c r="Q169" s="19"/>
      <c r="R169" s="19"/>
      <c r="S169" s="19"/>
      <c r="T169" s="19"/>
      <c r="U169" s="19"/>
      <c r="V169" s="19"/>
      <c r="W169" s="19"/>
      <c r="X169" s="19"/>
      <c r="Y169" s="19"/>
      <c r="Z169" s="19"/>
      <c r="AA169" s="19"/>
      <c r="AB169" s="19"/>
      <c r="AC169" s="19"/>
      <c r="AD169" s="19"/>
      <c r="AE169" s="19"/>
      <c r="AF169" s="19"/>
      <c r="AG169" s="19"/>
      <c r="AH169" s="19"/>
      <c r="AI169" s="19"/>
      <c r="AJ169" s="19"/>
      <c r="AK169" s="19"/>
      <c r="AL169" s="19"/>
      <c r="AM169" s="19"/>
    </row>
    <row r="170" spans="1:39" x14ac:dyDescent="0.2">
      <c r="A170" s="19"/>
      <c r="B170" s="19"/>
      <c r="C170" s="19"/>
      <c r="D170" s="19"/>
      <c r="E170" s="19"/>
      <c r="F170" s="36"/>
      <c r="G170" s="197"/>
      <c r="H170" s="36"/>
      <c r="I170" s="36"/>
      <c r="J170" s="36"/>
      <c r="K170" s="36"/>
      <c r="L170" s="36"/>
      <c r="M170" s="19"/>
      <c r="N170" s="19"/>
      <c r="O170" s="19"/>
      <c r="P170" s="19"/>
      <c r="Q170" s="19"/>
      <c r="R170" s="19"/>
      <c r="S170" s="19"/>
      <c r="T170" s="19"/>
      <c r="U170" s="19"/>
      <c r="V170" s="19"/>
      <c r="W170" s="19"/>
      <c r="X170" s="19"/>
      <c r="Y170" s="19"/>
      <c r="Z170" s="19"/>
      <c r="AA170" s="19"/>
      <c r="AB170" s="19"/>
      <c r="AC170" s="19"/>
      <c r="AD170" s="19"/>
      <c r="AE170" s="19"/>
      <c r="AF170" s="19"/>
      <c r="AG170" s="19"/>
      <c r="AH170" s="19"/>
      <c r="AI170" s="19"/>
      <c r="AJ170" s="19"/>
      <c r="AK170" s="19"/>
      <c r="AL170" s="19"/>
      <c r="AM170" s="19"/>
    </row>
    <row r="171" spans="1:39" x14ac:dyDescent="0.2">
      <c r="A171" s="19"/>
      <c r="B171" s="19"/>
      <c r="C171" s="19"/>
      <c r="D171" s="19"/>
      <c r="E171" s="19"/>
      <c r="F171" s="19"/>
      <c r="G171" s="197"/>
      <c r="H171" s="19"/>
      <c r="I171" s="19"/>
      <c r="J171" s="19"/>
      <c r="K171" s="19"/>
      <c r="L171" s="19"/>
      <c r="M171" s="19"/>
      <c r="N171" s="19"/>
      <c r="O171" s="19"/>
      <c r="P171" s="19"/>
      <c r="Q171" s="19"/>
      <c r="R171" s="19"/>
      <c r="S171" s="19"/>
      <c r="T171" s="19"/>
      <c r="U171" s="19"/>
      <c r="V171" s="19"/>
      <c r="W171" s="19"/>
      <c r="X171" s="19"/>
      <c r="Y171" s="19"/>
      <c r="Z171" s="19"/>
      <c r="AA171" s="19"/>
      <c r="AB171" s="19"/>
      <c r="AC171" s="19"/>
      <c r="AD171" s="19"/>
      <c r="AE171" s="19"/>
      <c r="AF171" s="19"/>
      <c r="AG171" s="19"/>
      <c r="AH171" s="19"/>
      <c r="AI171" s="19"/>
      <c r="AJ171" s="19"/>
      <c r="AK171" s="19"/>
      <c r="AL171" s="19"/>
      <c r="AM171" s="19"/>
    </row>
    <row r="172" spans="1:39" x14ac:dyDescent="0.2">
      <c r="A172" s="19"/>
      <c r="B172" s="19"/>
      <c r="C172" s="19"/>
      <c r="D172" s="19"/>
      <c r="E172" s="19"/>
      <c r="F172" s="19"/>
      <c r="G172" s="197"/>
      <c r="H172" s="19"/>
      <c r="I172" s="19"/>
      <c r="J172" s="19"/>
      <c r="K172" s="19"/>
      <c r="L172" s="19"/>
      <c r="M172" s="19"/>
      <c r="N172" s="19"/>
      <c r="O172" s="19"/>
      <c r="P172" s="19"/>
      <c r="Q172" s="19"/>
      <c r="R172" s="19"/>
      <c r="S172" s="19"/>
      <c r="T172" s="19"/>
      <c r="U172" s="19"/>
      <c r="V172" s="19"/>
      <c r="W172" s="19"/>
      <c r="X172" s="19"/>
      <c r="Y172" s="19"/>
      <c r="Z172" s="19"/>
      <c r="AA172" s="19"/>
      <c r="AB172" s="19"/>
      <c r="AC172" s="19"/>
      <c r="AD172" s="19"/>
      <c r="AE172" s="19"/>
      <c r="AF172" s="19"/>
      <c r="AG172" s="19"/>
      <c r="AH172" s="19"/>
      <c r="AI172" s="19"/>
      <c r="AJ172" s="19"/>
      <c r="AK172" s="19"/>
      <c r="AL172" s="19"/>
      <c r="AM172" s="19"/>
    </row>
    <row r="173" spans="1:39" x14ac:dyDescent="0.2">
      <c r="A173" s="19"/>
      <c r="B173" s="19"/>
      <c r="C173" s="19"/>
      <c r="D173" s="19"/>
      <c r="E173" s="19"/>
      <c r="F173" s="19"/>
      <c r="G173" s="197"/>
      <c r="H173" s="19"/>
      <c r="I173" s="19"/>
      <c r="J173" s="19"/>
      <c r="K173" s="19"/>
      <c r="L173" s="19"/>
      <c r="M173" s="19"/>
      <c r="N173" s="19"/>
      <c r="O173" s="19"/>
      <c r="P173" s="19"/>
      <c r="Q173" s="19"/>
      <c r="R173" s="19"/>
      <c r="S173" s="19"/>
      <c r="T173" s="19"/>
      <c r="U173" s="19"/>
      <c r="V173" s="19"/>
      <c r="W173" s="19"/>
      <c r="X173" s="19"/>
      <c r="Y173" s="19"/>
      <c r="Z173" s="19"/>
      <c r="AA173" s="19"/>
      <c r="AB173" s="19"/>
      <c r="AC173" s="19"/>
      <c r="AD173" s="19"/>
      <c r="AE173" s="19"/>
      <c r="AF173" s="19"/>
      <c r="AG173" s="19"/>
      <c r="AH173" s="19"/>
      <c r="AI173" s="19"/>
      <c r="AJ173" s="19"/>
      <c r="AK173" s="19"/>
      <c r="AL173" s="19"/>
      <c r="AM173" s="19"/>
    </row>
    <row r="174" spans="1:39" x14ac:dyDescent="0.2">
      <c r="A174" s="19"/>
      <c r="B174" s="19"/>
      <c r="C174" s="19"/>
      <c r="D174" s="19"/>
      <c r="E174" s="19"/>
      <c r="F174" s="19"/>
      <c r="G174" s="20"/>
      <c r="H174" s="19"/>
      <c r="I174" s="19"/>
      <c r="J174" s="19"/>
      <c r="K174" s="19"/>
      <c r="L174" s="19"/>
      <c r="M174" s="19"/>
      <c r="N174" s="19"/>
      <c r="O174" s="19"/>
      <c r="P174" s="19"/>
      <c r="Q174" s="19"/>
      <c r="R174" s="19"/>
      <c r="S174" s="19"/>
      <c r="T174" s="19"/>
      <c r="U174" s="19"/>
      <c r="V174" s="19"/>
      <c r="W174" s="19"/>
      <c r="X174" s="19"/>
      <c r="Y174" s="19"/>
      <c r="Z174" s="19"/>
      <c r="AA174" s="19"/>
      <c r="AB174" s="19"/>
      <c r="AC174" s="19"/>
      <c r="AD174" s="19"/>
      <c r="AE174" s="19"/>
      <c r="AF174" s="19"/>
      <c r="AG174" s="19"/>
      <c r="AH174" s="19"/>
      <c r="AI174" s="19"/>
      <c r="AJ174" s="19"/>
      <c r="AK174" s="19"/>
      <c r="AL174" s="19"/>
      <c r="AM174" s="19"/>
    </row>
    <row r="175" spans="1:39" x14ac:dyDescent="0.2">
      <c r="A175" s="19"/>
      <c r="B175" s="19"/>
      <c r="C175" s="19"/>
      <c r="D175" s="19"/>
      <c r="E175" s="19"/>
      <c r="F175" s="19"/>
      <c r="G175" s="20"/>
      <c r="H175" s="19"/>
      <c r="I175" s="19"/>
      <c r="J175" s="19"/>
      <c r="K175" s="19"/>
      <c r="L175" s="19"/>
      <c r="M175" s="19"/>
      <c r="N175" s="19"/>
      <c r="O175" s="19"/>
      <c r="P175" s="19"/>
      <c r="Q175" s="19"/>
      <c r="R175" s="19"/>
      <c r="S175" s="19"/>
      <c r="T175" s="19"/>
      <c r="U175" s="19"/>
      <c r="V175" s="19"/>
      <c r="W175" s="19"/>
      <c r="X175" s="19"/>
      <c r="Y175" s="19"/>
      <c r="Z175" s="19"/>
      <c r="AA175" s="19"/>
      <c r="AB175" s="19"/>
      <c r="AC175" s="19"/>
      <c r="AD175" s="19"/>
      <c r="AE175" s="19"/>
      <c r="AF175" s="19"/>
      <c r="AG175" s="19"/>
      <c r="AH175" s="19"/>
      <c r="AI175" s="19"/>
      <c r="AJ175" s="19"/>
      <c r="AK175" s="19"/>
      <c r="AL175" s="19"/>
      <c r="AM175" s="19"/>
    </row>
    <row r="176" spans="1:39" x14ac:dyDescent="0.2">
      <c r="A176" s="19"/>
      <c r="B176" s="19"/>
      <c r="C176" s="19"/>
      <c r="D176" s="19"/>
      <c r="E176" s="19"/>
      <c r="F176" s="19"/>
      <c r="G176" s="20"/>
      <c r="H176" s="19"/>
      <c r="I176" s="19"/>
      <c r="J176" s="19"/>
      <c r="K176" s="19"/>
      <c r="L176" s="19"/>
      <c r="M176" s="19"/>
      <c r="N176" s="19"/>
      <c r="O176" s="19"/>
      <c r="P176" s="19"/>
      <c r="Q176" s="19"/>
      <c r="R176" s="19"/>
      <c r="S176" s="19"/>
      <c r="T176" s="19"/>
      <c r="U176" s="19"/>
      <c r="V176" s="19"/>
      <c r="W176" s="19"/>
      <c r="X176" s="19"/>
      <c r="Y176" s="19"/>
      <c r="Z176" s="19"/>
      <c r="AA176" s="19"/>
      <c r="AB176" s="19"/>
      <c r="AC176" s="19"/>
      <c r="AD176" s="19"/>
      <c r="AE176" s="19"/>
      <c r="AF176" s="19"/>
      <c r="AG176" s="19"/>
      <c r="AH176" s="19"/>
      <c r="AI176" s="19"/>
      <c r="AJ176" s="19"/>
      <c r="AK176" s="19"/>
      <c r="AL176" s="19"/>
      <c r="AM176" s="19"/>
    </row>
    <row r="177" spans="1:39" x14ac:dyDescent="0.2">
      <c r="A177" s="19"/>
      <c r="B177" s="19"/>
      <c r="C177" s="19"/>
      <c r="D177" s="19"/>
      <c r="E177" s="19"/>
      <c r="F177" s="19"/>
      <c r="G177" s="20"/>
      <c r="H177" s="19"/>
      <c r="I177" s="19"/>
      <c r="J177" s="19"/>
      <c r="K177" s="19"/>
      <c r="L177" s="19"/>
      <c r="M177" s="19"/>
      <c r="N177" s="19"/>
      <c r="O177" s="19"/>
      <c r="P177" s="19"/>
      <c r="Q177" s="19"/>
      <c r="R177" s="19"/>
      <c r="S177" s="19"/>
      <c r="T177" s="19"/>
      <c r="U177" s="19"/>
      <c r="V177" s="19"/>
      <c r="W177" s="19"/>
      <c r="X177" s="19"/>
      <c r="Y177" s="19"/>
      <c r="Z177" s="19"/>
      <c r="AA177" s="19"/>
      <c r="AB177" s="19"/>
      <c r="AC177" s="19"/>
      <c r="AD177" s="19"/>
      <c r="AE177" s="19"/>
      <c r="AF177" s="19"/>
      <c r="AG177" s="19"/>
      <c r="AH177" s="19"/>
      <c r="AI177" s="19"/>
      <c r="AJ177" s="19"/>
      <c r="AK177" s="19"/>
      <c r="AL177" s="19"/>
      <c r="AM177" s="19"/>
    </row>
    <row r="178" spans="1:39" x14ac:dyDescent="0.2">
      <c r="A178" s="19"/>
      <c r="B178" s="19"/>
      <c r="C178" s="19"/>
      <c r="D178" s="19"/>
      <c r="E178" s="19"/>
      <c r="F178" s="19"/>
      <c r="G178" s="20"/>
      <c r="H178" s="19"/>
      <c r="I178" s="19"/>
      <c r="J178" s="19"/>
      <c r="K178" s="19"/>
      <c r="L178" s="19"/>
      <c r="M178" s="19"/>
      <c r="N178" s="19"/>
      <c r="O178" s="19"/>
      <c r="P178" s="19"/>
      <c r="Q178" s="19"/>
      <c r="R178" s="19"/>
      <c r="S178" s="19"/>
      <c r="T178" s="19"/>
      <c r="U178" s="19"/>
      <c r="V178" s="19"/>
      <c r="W178" s="19"/>
      <c r="X178" s="19"/>
      <c r="Y178" s="19"/>
      <c r="Z178" s="19"/>
      <c r="AA178" s="19"/>
      <c r="AB178" s="19"/>
      <c r="AC178" s="19"/>
      <c r="AD178" s="19"/>
      <c r="AE178" s="19"/>
      <c r="AF178" s="19"/>
      <c r="AG178" s="19"/>
      <c r="AH178" s="19"/>
      <c r="AI178" s="19"/>
      <c r="AJ178" s="19"/>
      <c r="AK178" s="19"/>
      <c r="AL178" s="19"/>
      <c r="AM178" s="19"/>
    </row>
    <row r="179" spans="1:39" x14ac:dyDescent="0.2">
      <c r="A179" s="19"/>
      <c r="B179" s="19"/>
      <c r="C179" s="19"/>
      <c r="D179" s="19"/>
      <c r="E179" s="19"/>
      <c r="F179" s="19"/>
      <c r="G179" s="20"/>
      <c r="H179" s="19"/>
      <c r="I179" s="19"/>
      <c r="J179" s="19"/>
      <c r="K179" s="19"/>
      <c r="L179" s="19"/>
      <c r="M179" s="19"/>
      <c r="N179" s="19"/>
      <c r="O179" s="19"/>
      <c r="P179" s="19"/>
      <c r="Q179" s="19"/>
      <c r="R179" s="19"/>
      <c r="S179" s="19"/>
      <c r="T179" s="19"/>
      <c r="U179" s="19"/>
      <c r="V179" s="19"/>
      <c r="W179" s="19"/>
      <c r="X179" s="19"/>
      <c r="Y179" s="19"/>
      <c r="Z179" s="19"/>
      <c r="AA179" s="19"/>
      <c r="AB179" s="19"/>
      <c r="AC179" s="19"/>
      <c r="AD179" s="19"/>
      <c r="AE179" s="19"/>
      <c r="AF179" s="19"/>
      <c r="AG179" s="19"/>
      <c r="AH179" s="19"/>
      <c r="AI179" s="19"/>
      <c r="AJ179" s="19"/>
      <c r="AK179" s="19"/>
      <c r="AL179" s="19"/>
      <c r="AM179" s="19"/>
    </row>
    <row r="180" spans="1:39" x14ac:dyDescent="0.2">
      <c r="A180" s="19"/>
      <c r="B180" s="19"/>
      <c r="C180" s="19"/>
      <c r="D180" s="19"/>
      <c r="E180" s="19"/>
      <c r="F180" s="19"/>
      <c r="G180" s="20"/>
      <c r="H180" s="19"/>
      <c r="I180" s="19"/>
      <c r="J180" s="19"/>
      <c r="K180" s="19"/>
      <c r="L180" s="19"/>
      <c r="M180" s="19"/>
      <c r="N180" s="19"/>
      <c r="O180" s="19"/>
      <c r="P180" s="19"/>
      <c r="Q180" s="19"/>
      <c r="R180" s="19"/>
      <c r="S180" s="19"/>
      <c r="T180" s="19"/>
      <c r="U180" s="19"/>
      <c r="V180" s="19"/>
      <c r="W180" s="19"/>
      <c r="X180" s="19"/>
      <c r="Y180" s="19"/>
      <c r="Z180" s="19"/>
      <c r="AA180" s="19"/>
      <c r="AB180" s="19"/>
      <c r="AC180" s="19"/>
      <c r="AD180" s="19"/>
      <c r="AE180" s="19"/>
      <c r="AF180" s="19"/>
      <c r="AG180" s="19"/>
      <c r="AH180" s="19"/>
      <c r="AI180" s="19"/>
      <c r="AJ180" s="19"/>
      <c r="AK180" s="19"/>
      <c r="AL180" s="19"/>
      <c r="AM180" s="19"/>
    </row>
    <row r="181" spans="1:39" x14ac:dyDescent="0.2">
      <c r="A181" s="19"/>
      <c r="B181" s="19"/>
      <c r="C181" s="19"/>
      <c r="D181" s="19"/>
      <c r="E181" s="19"/>
      <c r="F181" s="19"/>
      <c r="G181" s="20"/>
      <c r="H181" s="19"/>
      <c r="I181" s="19"/>
      <c r="J181" s="19"/>
      <c r="K181" s="19"/>
      <c r="L181" s="19"/>
      <c r="M181" s="19"/>
      <c r="N181" s="19"/>
      <c r="O181" s="19"/>
      <c r="P181" s="19"/>
      <c r="Q181" s="19"/>
      <c r="R181" s="19"/>
      <c r="S181" s="19"/>
      <c r="T181" s="19"/>
      <c r="U181" s="19"/>
      <c r="V181" s="19"/>
      <c r="W181" s="19"/>
      <c r="X181" s="19"/>
      <c r="Y181" s="19"/>
      <c r="Z181" s="19"/>
      <c r="AA181" s="19"/>
      <c r="AB181" s="19"/>
      <c r="AC181" s="19"/>
      <c r="AD181" s="19"/>
      <c r="AE181" s="19"/>
      <c r="AF181" s="19"/>
      <c r="AG181" s="19"/>
      <c r="AH181" s="19"/>
      <c r="AI181" s="19"/>
      <c r="AJ181" s="19"/>
      <c r="AK181" s="19"/>
      <c r="AL181" s="19"/>
      <c r="AM181" s="19"/>
    </row>
    <row r="182" spans="1:39" ht="15" x14ac:dyDescent="0.25">
      <c r="A182" s="19"/>
      <c r="B182" s="44"/>
      <c r="C182" s="19"/>
      <c r="D182" s="19"/>
      <c r="E182" s="19"/>
      <c r="F182" s="19"/>
      <c r="G182" s="20"/>
      <c r="H182" s="19"/>
      <c r="I182" s="19"/>
      <c r="J182" s="19"/>
      <c r="K182" s="19"/>
      <c r="L182" s="19"/>
      <c r="M182" s="19"/>
      <c r="N182" s="19"/>
      <c r="O182" s="19"/>
      <c r="P182" s="19"/>
      <c r="Q182" s="19"/>
      <c r="R182" s="19"/>
      <c r="S182" s="19"/>
      <c r="T182" s="19"/>
      <c r="U182" s="19"/>
      <c r="V182" s="19"/>
      <c r="W182" s="19"/>
      <c r="X182" s="19"/>
      <c r="Y182" s="19"/>
      <c r="Z182" s="19"/>
      <c r="AA182" s="19"/>
      <c r="AB182" s="19"/>
      <c r="AC182" s="19"/>
      <c r="AD182" s="19"/>
      <c r="AE182" s="19"/>
      <c r="AF182" s="19"/>
      <c r="AG182" s="19"/>
      <c r="AH182" s="19"/>
      <c r="AI182" s="19"/>
      <c r="AJ182" s="19"/>
      <c r="AK182" s="19"/>
      <c r="AL182" s="19"/>
      <c r="AM182" s="19"/>
    </row>
    <row r="183" spans="1:39" x14ac:dyDescent="0.2">
      <c r="A183" s="19"/>
      <c r="B183" s="19"/>
      <c r="C183" s="19"/>
      <c r="D183" s="19"/>
      <c r="E183" s="19"/>
      <c r="F183" s="19"/>
      <c r="G183" s="20"/>
      <c r="H183" s="19"/>
      <c r="I183" s="19"/>
      <c r="J183" s="19"/>
      <c r="K183" s="19"/>
      <c r="L183" s="19"/>
      <c r="M183" s="19"/>
      <c r="N183" s="19"/>
      <c r="O183" s="19"/>
      <c r="P183" s="19"/>
      <c r="Q183" s="19"/>
      <c r="R183" s="19"/>
      <c r="S183" s="19"/>
      <c r="T183" s="19"/>
      <c r="U183" s="19"/>
      <c r="V183" s="19"/>
      <c r="W183" s="19"/>
      <c r="X183" s="19"/>
      <c r="Y183" s="19"/>
      <c r="Z183" s="19"/>
      <c r="AA183" s="19"/>
      <c r="AB183" s="19"/>
      <c r="AC183" s="19"/>
      <c r="AD183" s="19"/>
      <c r="AE183" s="19"/>
      <c r="AF183" s="19"/>
      <c r="AG183" s="19"/>
      <c r="AH183" s="19"/>
      <c r="AI183" s="19"/>
      <c r="AJ183" s="19"/>
      <c r="AK183" s="19"/>
      <c r="AL183" s="19"/>
      <c r="AM183" s="19"/>
    </row>
    <row r="184" spans="1:39" x14ac:dyDescent="0.2">
      <c r="A184" s="19"/>
      <c r="B184" s="19"/>
      <c r="C184" s="19"/>
      <c r="D184" s="19"/>
      <c r="E184" s="19"/>
      <c r="F184" s="19"/>
      <c r="G184" s="20"/>
      <c r="H184" s="19"/>
      <c r="I184" s="19"/>
      <c r="J184" s="19"/>
      <c r="K184" s="19"/>
      <c r="L184" s="19"/>
      <c r="M184" s="19"/>
      <c r="N184" s="19"/>
      <c r="O184" s="19"/>
      <c r="P184" s="19"/>
      <c r="Q184" s="19"/>
      <c r="R184" s="19"/>
      <c r="S184" s="19"/>
      <c r="T184" s="19"/>
      <c r="U184" s="19"/>
      <c r="V184" s="19"/>
      <c r="W184" s="19"/>
      <c r="X184" s="19"/>
      <c r="Y184" s="19"/>
      <c r="Z184" s="19"/>
      <c r="AA184" s="19"/>
      <c r="AB184" s="19"/>
      <c r="AC184" s="19"/>
      <c r="AD184" s="19"/>
      <c r="AE184" s="19"/>
      <c r="AF184" s="19"/>
      <c r="AG184" s="19"/>
      <c r="AH184" s="19"/>
      <c r="AI184" s="19"/>
      <c r="AJ184" s="19"/>
      <c r="AK184" s="19"/>
      <c r="AL184" s="19"/>
      <c r="AM184" s="19"/>
    </row>
    <row r="185" spans="1:39" x14ac:dyDescent="0.2">
      <c r="A185" s="19"/>
      <c r="B185" s="19"/>
      <c r="C185" s="19"/>
      <c r="D185" s="19"/>
      <c r="E185" s="19"/>
      <c r="F185" s="19"/>
      <c r="G185" s="20"/>
      <c r="H185" s="19"/>
      <c r="I185" s="19"/>
      <c r="J185" s="19"/>
      <c r="K185" s="19"/>
      <c r="L185" s="19"/>
      <c r="M185" s="19"/>
      <c r="N185" s="19"/>
      <c r="O185" s="19"/>
      <c r="P185" s="19"/>
      <c r="Q185" s="19"/>
      <c r="R185" s="19"/>
      <c r="S185" s="19"/>
      <c r="T185" s="19"/>
      <c r="U185" s="19"/>
      <c r="V185" s="19"/>
      <c r="W185" s="19"/>
      <c r="X185" s="19"/>
      <c r="Y185" s="19"/>
      <c r="Z185" s="19"/>
      <c r="AA185" s="19"/>
      <c r="AB185" s="19"/>
      <c r="AC185" s="19"/>
      <c r="AD185" s="19"/>
      <c r="AE185" s="19"/>
      <c r="AF185" s="19"/>
      <c r="AG185" s="19"/>
      <c r="AH185" s="19"/>
      <c r="AI185" s="19"/>
      <c r="AJ185" s="19"/>
      <c r="AK185" s="19"/>
      <c r="AL185" s="19"/>
      <c r="AM185" s="19"/>
    </row>
    <row r="186" spans="1:39" x14ac:dyDescent="0.2">
      <c r="A186" s="19"/>
      <c r="B186" s="19"/>
      <c r="C186" s="19"/>
      <c r="D186" s="19"/>
      <c r="E186" s="19"/>
      <c r="F186" s="19"/>
      <c r="G186" s="20"/>
      <c r="H186" s="19"/>
      <c r="I186" s="19"/>
      <c r="J186" s="19"/>
      <c r="K186" s="19"/>
      <c r="L186" s="19"/>
      <c r="M186" s="19"/>
      <c r="N186" s="19"/>
      <c r="O186" s="19"/>
      <c r="P186" s="19"/>
      <c r="Q186" s="19"/>
      <c r="R186" s="19"/>
      <c r="S186" s="19"/>
      <c r="T186" s="19"/>
      <c r="U186" s="19"/>
      <c r="V186" s="19"/>
      <c r="W186" s="19"/>
      <c r="X186" s="19"/>
      <c r="Y186" s="19"/>
      <c r="Z186" s="19"/>
      <c r="AA186" s="19"/>
      <c r="AB186" s="19"/>
      <c r="AC186" s="19"/>
      <c r="AD186" s="19"/>
      <c r="AE186" s="19"/>
      <c r="AF186" s="19"/>
      <c r="AG186" s="19"/>
      <c r="AH186" s="19"/>
      <c r="AI186" s="19"/>
      <c r="AJ186" s="19"/>
      <c r="AK186" s="19"/>
      <c r="AL186" s="19"/>
      <c r="AM186" s="19"/>
    </row>
    <row r="187" spans="1:39" x14ac:dyDescent="0.2">
      <c r="A187" s="19"/>
      <c r="B187" s="19"/>
      <c r="D187" s="19"/>
      <c r="E187" s="19"/>
      <c r="F187" s="19"/>
      <c r="G187" s="20"/>
      <c r="H187" s="19"/>
      <c r="I187" s="19"/>
      <c r="J187" s="19"/>
      <c r="K187" s="19"/>
      <c r="L187" s="19"/>
      <c r="M187" s="19"/>
      <c r="N187" s="19"/>
      <c r="O187" s="19"/>
      <c r="P187" s="19"/>
      <c r="Q187" s="19"/>
      <c r="R187" s="19"/>
      <c r="S187" s="19"/>
      <c r="T187" s="19"/>
      <c r="U187" s="19"/>
      <c r="V187" s="19"/>
      <c r="W187" s="19"/>
      <c r="X187" s="19"/>
      <c r="Y187" s="19"/>
      <c r="Z187" s="19"/>
      <c r="AA187" s="19"/>
      <c r="AB187" s="19"/>
      <c r="AC187" s="19"/>
      <c r="AD187" s="19"/>
      <c r="AE187" s="19"/>
      <c r="AF187" s="19"/>
      <c r="AG187" s="19"/>
      <c r="AH187" s="19"/>
      <c r="AI187" s="19"/>
      <c r="AJ187" s="19"/>
      <c r="AK187" s="19"/>
      <c r="AL187" s="19"/>
      <c r="AM187" s="19"/>
    </row>
    <row r="188" spans="1:39" x14ac:dyDescent="0.2">
      <c r="A188" s="19"/>
      <c r="B188" s="19"/>
      <c r="C188" s="19"/>
      <c r="D188" s="19"/>
      <c r="E188" s="19"/>
      <c r="F188" s="19"/>
      <c r="G188" s="20"/>
      <c r="H188" s="19"/>
      <c r="I188" s="19"/>
      <c r="J188" s="19"/>
      <c r="K188" s="19"/>
      <c r="L188" s="19"/>
      <c r="M188" s="19"/>
      <c r="N188" s="19"/>
      <c r="O188" s="19"/>
      <c r="P188" s="19"/>
      <c r="Q188" s="19"/>
      <c r="R188" s="19"/>
      <c r="S188" s="19"/>
      <c r="T188" s="19"/>
      <c r="U188" s="19"/>
      <c r="V188" s="19"/>
      <c r="W188" s="19"/>
      <c r="X188" s="19"/>
      <c r="Y188" s="19"/>
      <c r="Z188" s="19"/>
      <c r="AA188" s="19"/>
      <c r="AB188" s="19"/>
      <c r="AC188" s="19"/>
      <c r="AD188" s="19"/>
      <c r="AE188" s="19"/>
      <c r="AF188" s="19"/>
      <c r="AG188" s="19"/>
      <c r="AH188" s="19"/>
      <c r="AI188" s="19"/>
      <c r="AJ188" s="19"/>
      <c r="AK188" s="19"/>
      <c r="AL188" s="19"/>
      <c r="AM188" s="19"/>
    </row>
    <row r="189" spans="1:39" x14ac:dyDescent="0.2">
      <c r="A189" s="19"/>
      <c r="B189" s="19"/>
      <c r="C189" s="19"/>
      <c r="D189" s="19"/>
      <c r="E189" s="19"/>
      <c r="F189" s="19"/>
      <c r="G189" s="20"/>
      <c r="H189" s="19"/>
      <c r="I189" s="19"/>
      <c r="J189" s="19"/>
      <c r="K189" s="19"/>
      <c r="L189" s="19"/>
      <c r="M189" s="19"/>
      <c r="N189" s="19"/>
      <c r="O189" s="19"/>
      <c r="P189" s="19"/>
      <c r="Q189" s="19"/>
      <c r="R189" s="19"/>
      <c r="S189" s="19"/>
      <c r="T189" s="19"/>
      <c r="U189" s="19"/>
      <c r="V189" s="19"/>
      <c r="W189" s="19"/>
      <c r="X189" s="19"/>
      <c r="Y189" s="19"/>
      <c r="Z189" s="19"/>
      <c r="AA189" s="19"/>
      <c r="AB189" s="19"/>
      <c r="AC189" s="19"/>
      <c r="AD189" s="19"/>
      <c r="AE189" s="19"/>
      <c r="AF189" s="19"/>
      <c r="AG189" s="19"/>
      <c r="AH189" s="19"/>
      <c r="AI189" s="19"/>
      <c r="AJ189" s="19"/>
      <c r="AK189" s="19"/>
      <c r="AL189" s="19"/>
      <c r="AM189" s="19"/>
    </row>
    <row r="190" spans="1:39" x14ac:dyDescent="0.2">
      <c r="A190" s="19"/>
      <c r="B190" s="19"/>
      <c r="C190" s="19"/>
      <c r="D190" s="19"/>
      <c r="E190" s="19"/>
      <c r="F190" s="19"/>
      <c r="G190" s="20"/>
      <c r="H190" s="19"/>
      <c r="I190" s="19"/>
      <c r="J190" s="19"/>
      <c r="K190" s="19"/>
      <c r="L190" s="19"/>
      <c r="M190" s="19"/>
      <c r="N190" s="19"/>
      <c r="O190" s="19"/>
      <c r="P190" s="19"/>
      <c r="Q190" s="19"/>
      <c r="R190" s="19"/>
      <c r="S190" s="19"/>
      <c r="T190" s="19"/>
      <c r="U190" s="19"/>
      <c r="V190" s="19"/>
      <c r="W190" s="19"/>
      <c r="X190" s="19"/>
      <c r="Y190" s="19"/>
      <c r="Z190" s="19"/>
      <c r="AA190" s="19"/>
      <c r="AB190" s="19"/>
      <c r="AC190" s="19"/>
      <c r="AD190" s="19"/>
      <c r="AE190" s="19"/>
      <c r="AF190" s="19"/>
      <c r="AG190" s="19"/>
      <c r="AH190" s="19"/>
      <c r="AI190" s="19"/>
      <c r="AJ190" s="19"/>
      <c r="AK190" s="19"/>
      <c r="AL190" s="19"/>
      <c r="AM190" s="19"/>
    </row>
    <row r="191" spans="1:39" x14ac:dyDescent="0.2">
      <c r="A191" s="19"/>
      <c r="B191" s="19"/>
      <c r="C191" s="19"/>
      <c r="D191" s="19"/>
      <c r="E191" s="19"/>
      <c r="F191" s="19"/>
      <c r="G191" s="20"/>
      <c r="H191" s="19"/>
      <c r="I191" s="19"/>
      <c r="J191" s="19"/>
      <c r="K191" s="19"/>
      <c r="L191" s="19"/>
      <c r="M191" s="19"/>
      <c r="N191" s="19"/>
      <c r="O191" s="19"/>
      <c r="P191" s="19"/>
      <c r="Q191" s="19"/>
      <c r="R191" s="19"/>
      <c r="S191" s="19"/>
      <c r="T191" s="19"/>
      <c r="U191" s="19"/>
      <c r="V191" s="19"/>
      <c r="W191" s="19"/>
      <c r="X191" s="19"/>
      <c r="Y191" s="19"/>
      <c r="Z191" s="19"/>
      <c r="AA191" s="19"/>
      <c r="AB191" s="19"/>
      <c r="AC191" s="19"/>
      <c r="AD191" s="19"/>
      <c r="AE191" s="19"/>
      <c r="AF191" s="19"/>
      <c r="AG191" s="19"/>
      <c r="AH191" s="19"/>
      <c r="AI191" s="19"/>
      <c r="AJ191" s="19"/>
      <c r="AK191" s="19"/>
      <c r="AL191" s="19"/>
      <c r="AM191" s="19"/>
    </row>
    <row r="192" spans="1:39" x14ac:dyDescent="0.2">
      <c r="A192" s="19"/>
      <c r="B192" s="19"/>
      <c r="C192" s="19"/>
      <c r="D192" s="19"/>
      <c r="E192" s="19"/>
      <c r="F192" s="19"/>
      <c r="G192" s="20"/>
      <c r="H192" s="19"/>
      <c r="I192" s="19"/>
      <c r="J192" s="19"/>
      <c r="K192" s="19"/>
      <c r="L192" s="19"/>
      <c r="M192" s="19"/>
      <c r="N192" s="19"/>
      <c r="O192" s="19"/>
      <c r="P192" s="19"/>
      <c r="Q192" s="19"/>
      <c r="R192" s="19"/>
      <c r="S192" s="19"/>
      <c r="T192" s="19"/>
      <c r="U192" s="19"/>
      <c r="V192" s="19"/>
      <c r="W192" s="19"/>
      <c r="X192" s="19"/>
      <c r="Y192" s="19"/>
      <c r="Z192" s="19"/>
      <c r="AA192" s="19"/>
      <c r="AB192" s="19"/>
      <c r="AC192" s="19"/>
      <c r="AD192" s="19"/>
      <c r="AE192" s="19"/>
      <c r="AF192" s="19"/>
      <c r="AG192" s="19"/>
      <c r="AH192" s="19"/>
      <c r="AI192" s="19"/>
      <c r="AJ192" s="19"/>
      <c r="AK192" s="19"/>
      <c r="AL192" s="19"/>
      <c r="AM192" s="19"/>
    </row>
    <row r="193" spans="1:39" x14ac:dyDescent="0.2">
      <c r="A193" s="19"/>
      <c r="B193" s="19"/>
      <c r="C193" s="19"/>
      <c r="D193" s="19"/>
      <c r="E193" s="19"/>
      <c r="F193" s="19"/>
      <c r="G193" s="20"/>
      <c r="H193" s="19"/>
      <c r="I193" s="19"/>
      <c r="J193" s="19"/>
      <c r="K193" s="19"/>
      <c r="L193" s="19"/>
      <c r="M193" s="19"/>
      <c r="N193" s="19"/>
      <c r="O193" s="19"/>
      <c r="P193" s="19"/>
      <c r="Q193" s="19"/>
      <c r="R193" s="19"/>
      <c r="S193" s="19"/>
      <c r="T193" s="19"/>
      <c r="U193" s="19"/>
      <c r="V193" s="19"/>
      <c r="W193" s="19"/>
      <c r="X193" s="19"/>
      <c r="Y193" s="19"/>
      <c r="Z193" s="19"/>
      <c r="AA193" s="19"/>
      <c r="AB193" s="19"/>
      <c r="AC193" s="19"/>
      <c r="AD193" s="19"/>
      <c r="AE193" s="19"/>
      <c r="AF193" s="19"/>
      <c r="AG193" s="19"/>
      <c r="AH193" s="19"/>
      <c r="AI193" s="19"/>
      <c r="AJ193" s="19"/>
      <c r="AK193" s="19"/>
      <c r="AL193" s="19"/>
      <c r="AM193" s="19"/>
    </row>
    <row r="194" spans="1:39" x14ac:dyDescent="0.2">
      <c r="A194" s="19"/>
      <c r="B194" s="19"/>
      <c r="C194" s="19"/>
      <c r="D194" s="19"/>
      <c r="E194" s="19"/>
      <c r="F194" s="19"/>
      <c r="G194" s="20"/>
      <c r="H194" s="19"/>
      <c r="I194" s="19"/>
      <c r="J194" s="19"/>
      <c r="K194" s="19"/>
      <c r="L194" s="19"/>
      <c r="M194" s="19"/>
      <c r="N194" s="19"/>
      <c r="O194" s="19"/>
      <c r="P194" s="19"/>
      <c r="Q194" s="19"/>
      <c r="R194" s="19"/>
      <c r="S194" s="19"/>
      <c r="T194" s="19"/>
      <c r="U194" s="19"/>
      <c r="V194" s="19"/>
      <c r="W194" s="19"/>
      <c r="X194" s="19"/>
      <c r="Y194" s="19"/>
      <c r="Z194" s="19"/>
      <c r="AA194" s="19"/>
      <c r="AB194" s="19"/>
      <c r="AC194" s="19"/>
      <c r="AD194" s="19"/>
      <c r="AE194" s="19"/>
      <c r="AF194" s="19"/>
      <c r="AG194" s="19"/>
      <c r="AH194" s="19"/>
      <c r="AI194" s="19"/>
      <c r="AJ194" s="19"/>
      <c r="AK194" s="19"/>
      <c r="AL194" s="19"/>
      <c r="AM194" s="19"/>
    </row>
    <row r="195" spans="1:39" x14ac:dyDescent="0.2">
      <c r="A195" s="19"/>
      <c r="B195" s="19"/>
      <c r="C195" s="19"/>
      <c r="D195" s="19"/>
      <c r="E195" s="19"/>
      <c r="F195" s="19"/>
      <c r="G195" s="20"/>
      <c r="H195" s="19"/>
      <c r="I195" s="19"/>
      <c r="J195" s="19"/>
      <c r="K195" s="19"/>
      <c r="L195" s="19"/>
      <c r="M195" s="19"/>
      <c r="N195" s="19"/>
      <c r="O195" s="19"/>
      <c r="P195" s="19"/>
      <c r="Q195" s="19"/>
      <c r="R195" s="19"/>
      <c r="S195" s="19"/>
      <c r="T195" s="19"/>
      <c r="U195" s="19"/>
      <c r="V195" s="19"/>
      <c r="W195" s="19"/>
      <c r="X195" s="19"/>
      <c r="Y195" s="19"/>
      <c r="Z195" s="19"/>
      <c r="AA195" s="19"/>
      <c r="AB195" s="19"/>
      <c r="AC195" s="19"/>
      <c r="AD195" s="19"/>
      <c r="AE195" s="19"/>
      <c r="AF195" s="19"/>
      <c r="AG195" s="19"/>
      <c r="AH195" s="19"/>
      <c r="AI195" s="19"/>
      <c r="AJ195" s="19"/>
      <c r="AK195" s="19"/>
      <c r="AL195" s="19"/>
      <c r="AM195" s="19"/>
    </row>
    <row r="196" spans="1:39" x14ac:dyDescent="0.2">
      <c r="A196" s="19"/>
      <c r="B196" s="19"/>
      <c r="C196" s="19"/>
      <c r="D196" s="19"/>
      <c r="E196" s="19"/>
      <c r="F196" s="19"/>
      <c r="G196" s="20"/>
      <c r="H196" s="19"/>
      <c r="I196" s="19"/>
      <c r="J196" s="19"/>
      <c r="K196" s="19"/>
      <c r="L196" s="19"/>
      <c r="M196" s="19"/>
      <c r="N196" s="19"/>
      <c r="O196" s="19"/>
      <c r="P196" s="19"/>
      <c r="Q196" s="19"/>
      <c r="R196" s="19"/>
      <c r="S196" s="19"/>
      <c r="T196" s="19"/>
      <c r="U196" s="19"/>
      <c r="V196" s="19"/>
      <c r="W196" s="19"/>
      <c r="X196" s="19"/>
      <c r="Y196" s="19"/>
      <c r="Z196" s="19"/>
      <c r="AA196" s="19"/>
      <c r="AB196" s="19"/>
      <c r="AC196" s="19"/>
      <c r="AD196" s="19"/>
      <c r="AE196" s="19"/>
      <c r="AF196" s="19"/>
      <c r="AG196" s="19"/>
      <c r="AH196" s="19"/>
      <c r="AI196" s="19"/>
      <c r="AJ196" s="19"/>
      <c r="AK196" s="19"/>
      <c r="AL196" s="19"/>
      <c r="AM196" s="19"/>
    </row>
    <row r="197" spans="1:39" x14ac:dyDescent="0.2">
      <c r="A197" s="19"/>
      <c r="B197" s="19"/>
      <c r="C197" s="19"/>
      <c r="D197" s="19"/>
      <c r="E197" s="19"/>
      <c r="F197" s="19"/>
      <c r="G197" s="20"/>
      <c r="H197" s="19"/>
      <c r="I197" s="19"/>
      <c r="J197" s="19"/>
      <c r="K197" s="19"/>
      <c r="L197" s="19"/>
      <c r="M197" s="19"/>
      <c r="N197" s="19"/>
      <c r="O197" s="19"/>
      <c r="P197" s="19"/>
      <c r="Q197" s="19"/>
      <c r="R197" s="19"/>
      <c r="S197" s="19"/>
      <c r="T197" s="19"/>
      <c r="U197" s="19"/>
      <c r="V197" s="19"/>
      <c r="W197" s="19"/>
      <c r="X197" s="19"/>
      <c r="Y197" s="19"/>
      <c r="Z197" s="19"/>
      <c r="AA197" s="19"/>
      <c r="AB197" s="19"/>
      <c r="AC197" s="19"/>
      <c r="AD197" s="19"/>
      <c r="AE197" s="19"/>
      <c r="AF197" s="19"/>
      <c r="AG197" s="19"/>
      <c r="AH197" s="19"/>
      <c r="AI197" s="19"/>
      <c r="AJ197" s="19"/>
      <c r="AK197" s="19"/>
      <c r="AL197" s="19"/>
      <c r="AM197" s="19"/>
    </row>
    <row r="198" spans="1:39" x14ac:dyDescent="0.2">
      <c r="A198" s="19"/>
      <c r="B198" s="19"/>
      <c r="C198" s="19"/>
      <c r="D198" s="19"/>
      <c r="E198" s="19"/>
      <c r="F198" s="19"/>
      <c r="G198" s="20"/>
      <c r="H198" s="19"/>
      <c r="I198" s="19"/>
      <c r="J198" s="19"/>
      <c r="K198" s="19"/>
      <c r="L198" s="19"/>
      <c r="M198" s="19"/>
      <c r="N198" s="19"/>
      <c r="O198" s="19"/>
      <c r="P198" s="19"/>
      <c r="Q198" s="19"/>
      <c r="R198" s="19"/>
      <c r="S198" s="19"/>
      <c r="T198" s="19"/>
      <c r="U198" s="19"/>
      <c r="V198" s="19"/>
      <c r="W198" s="19"/>
      <c r="X198" s="19"/>
      <c r="Y198" s="19"/>
      <c r="Z198" s="19"/>
      <c r="AA198" s="19"/>
      <c r="AB198" s="19"/>
      <c r="AC198" s="19"/>
      <c r="AD198" s="19"/>
      <c r="AE198" s="19"/>
      <c r="AF198" s="19"/>
      <c r="AG198" s="19"/>
      <c r="AH198" s="19"/>
      <c r="AI198" s="19"/>
      <c r="AJ198" s="19"/>
      <c r="AK198" s="19"/>
      <c r="AL198" s="19"/>
      <c r="AM198" s="19"/>
    </row>
    <row r="199" spans="1:39" x14ac:dyDescent="0.2">
      <c r="A199" s="19"/>
      <c r="B199" s="19"/>
      <c r="C199" s="19"/>
      <c r="D199" s="19"/>
      <c r="E199" s="19"/>
      <c r="F199" s="19"/>
      <c r="G199" s="20"/>
      <c r="H199" s="19"/>
      <c r="I199" s="19"/>
      <c r="J199" s="19"/>
      <c r="K199" s="19"/>
      <c r="L199" s="19"/>
      <c r="M199" s="19"/>
      <c r="N199" s="19"/>
      <c r="O199" s="19"/>
      <c r="P199" s="19"/>
      <c r="Q199" s="19"/>
      <c r="R199" s="19"/>
      <c r="S199" s="19"/>
      <c r="T199" s="19"/>
      <c r="U199" s="19"/>
      <c r="V199" s="19"/>
      <c r="W199" s="19"/>
      <c r="X199" s="19"/>
      <c r="Y199" s="19"/>
      <c r="Z199" s="19"/>
      <c r="AA199" s="19"/>
      <c r="AB199" s="19"/>
      <c r="AC199" s="19"/>
      <c r="AD199" s="19"/>
      <c r="AE199" s="19"/>
      <c r="AF199" s="19"/>
      <c r="AG199" s="19"/>
      <c r="AH199" s="19"/>
      <c r="AI199" s="19"/>
      <c r="AJ199" s="19"/>
      <c r="AK199" s="19"/>
      <c r="AL199" s="19"/>
      <c r="AM199" s="19"/>
    </row>
    <row r="200" spans="1:39" x14ac:dyDescent="0.2">
      <c r="A200" s="19"/>
      <c r="B200" s="19"/>
      <c r="C200" s="19"/>
      <c r="D200" s="19"/>
      <c r="E200" s="19"/>
      <c r="F200" s="19"/>
      <c r="G200" s="20"/>
      <c r="H200" s="19"/>
      <c r="I200" s="19"/>
      <c r="J200" s="19"/>
      <c r="K200" s="19"/>
      <c r="L200" s="19"/>
      <c r="M200" s="19"/>
      <c r="N200" s="19"/>
      <c r="O200" s="19"/>
      <c r="P200" s="19"/>
      <c r="Q200" s="19"/>
      <c r="R200" s="19"/>
      <c r="S200" s="19"/>
      <c r="T200" s="19"/>
      <c r="U200" s="19"/>
      <c r="V200" s="19"/>
      <c r="W200" s="19"/>
      <c r="X200" s="19"/>
      <c r="Y200" s="19"/>
      <c r="Z200" s="19"/>
      <c r="AA200" s="19"/>
      <c r="AB200" s="19"/>
      <c r="AC200" s="19"/>
      <c r="AD200" s="19"/>
      <c r="AE200" s="19"/>
      <c r="AF200" s="19"/>
      <c r="AG200" s="19"/>
      <c r="AH200" s="19"/>
      <c r="AI200" s="19"/>
      <c r="AJ200" s="19"/>
      <c r="AK200" s="19"/>
      <c r="AL200" s="19"/>
      <c r="AM200" s="19"/>
    </row>
    <row r="201" spans="1:39" x14ac:dyDescent="0.2">
      <c r="A201" s="19"/>
      <c r="B201" s="19"/>
      <c r="C201" s="19"/>
      <c r="D201" s="19"/>
      <c r="E201" s="19"/>
      <c r="F201" s="19"/>
      <c r="G201" s="20"/>
      <c r="H201" s="19"/>
      <c r="I201" s="19"/>
      <c r="J201" s="19"/>
      <c r="K201" s="19"/>
      <c r="L201" s="19"/>
      <c r="M201" s="19"/>
      <c r="N201" s="19"/>
      <c r="O201" s="19"/>
      <c r="P201" s="19"/>
      <c r="Q201" s="19"/>
      <c r="R201" s="19"/>
      <c r="S201" s="19"/>
      <c r="T201" s="19"/>
      <c r="U201" s="19"/>
      <c r="V201" s="19"/>
      <c r="W201" s="19"/>
      <c r="X201" s="19"/>
      <c r="Y201" s="19"/>
      <c r="Z201" s="19"/>
      <c r="AA201" s="19"/>
      <c r="AB201" s="19"/>
      <c r="AC201" s="19"/>
      <c r="AD201" s="19"/>
      <c r="AE201" s="19"/>
      <c r="AF201" s="19"/>
      <c r="AG201" s="19"/>
      <c r="AH201" s="19"/>
      <c r="AI201" s="19"/>
      <c r="AJ201" s="19"/>
      <c r="AK201" s="19"/>
      <c r="AL201" s="19"/>
      <c r="AM201" s="19"/>
    </row>
    <row r="202" spans="1:39" x14ac:dyDescent="0.2">
      <c r="A202" s="19"/>
      <c r="B202" s="19"/>
      <c r="C202" s="19"/>
      <c r="D202" s="19"/>
      <c r="E202" s="19"/>
      <c r="F202" s="19"/>
      <c r="G202" s="20"/>
      <c r="H202" s="19"/>
      <c r="I202" s="19"/>
      <c r="J202" s="19"/>
      <c r="K202" s="19"/>
      <c r="L202" s="19"/>
      <c r="M202" s="19"/>
      <c r="N202" s="19"/>
      <c r="O202" s="19"/>
      <c r="P202" s="19"/>
      <c r="Q202" s="19"/>
      <c r="R202" s="19"/>
      <c r="S202" s="19"/>
      <c r="T202" s="19"/>
      <c r="U202" s="19"/>
      <c r="V202" s="19"/>
      <c r="W202" s="19"/>
      <c r="X202" s="19"/>
      <c r="Y202" s="19"/>
      <c r="Z202" s="19"/>
      <c r="AA202" s="19"/>
      <c r="AB202" s="19"/>
      <c r="AC202" s="19"/>
      <c r="AD202" s="19"/>
      <c r="AE202" s="19"/>
      <c r="AF202" s="19"/>
      <c r="AG202" s="19"/>
      <c r="AH202" s="19"/>
      <c r="AI202" s="19"/>
      <c r="AJ202" s="19"/>
      <c r="AK202" s="19"/>
      <c r="AL202" s="19"/>
      <c r="AM202" s="19"/>
    </row>
    <row r="203" spans="1:39" x14ac:dyDescent="0.2">
      <c r="A203" s="19"/>
      <c r="B203" s="19"/>
      <c r="C203" s="19"/>
      <c r="D203" s="19"/>
      <c r="E203" s="19"/>
      <c r="F203" s="19"/>
      <c r="G203" s="20"/>
      <c r="H203" s="19"/>
      <c r="I203" s="19"/>
      <c r="J203" s="19"/>
      <c r="K203" s="19"/>
      <c r="L203" s="19"/>
      <c r="M203" s="19"/>
      <c r="N203" s="19"/>
      <c r="O203" s="19"/>
      <c r="P203" s="19"/>
      <c r="Q203" s="19"/>
      <c r="R203" s="19"/>
      <c r="S203" s="19"/>
      <c r="T203" s="19"/>
      <c r="U203" s="19"/>
      <c r="V203" s="19"/>
      <c r="W203" s="19"/>
      <c r="X203" s="19"/>
      <c r="Y203" s="19"/>
      <c r="Z203" s="19"/>
      <c r="AA203" s="19"/>
      <c r="AB203" s="19"/>
      <c r="AC203" s="19"/>
      <c r="AD203" s="19"/>
      <c r="AE203" s="19"/>
      <c r="AF203" s="19"/>
      <c r="AG203" s="19"/>
      <c r="AH203" s="19"/>
      <c r="AI203" s="19"/>
      <c r="AJ203" s="19"/>
      <c r="AK203" s="19"/>
      <c r="AL203" s="19"/>
      <c r="AM203" s="19"/>
    </row>
    <row r="204" spans="1:39" x14ac:dyDescent="0.2">
      <c r="A204" s="19"/>
      <c r="B204" s="19"/>
      <c r="C204" s="19"/>
      <c r="D204" s="19"/>
      <c r="E204" s="19"/>
      <c r="F204" s="19"/>
      <c r="G204" s="20"/>
      <c r="H204" s="19"/>
      <c r="I204" s="19"/>
      <c r="J204" s="19"/>
      <c r="K204" s="19"/>
      <c r="L204" s="19"/>
      <c r="M204" s="19"/>
      <c r="N204" s="19"/>
      <c r="O204" s="19"/>
      <c r="P204" s="19"/>
      <c r="Q204" s="19"/>
      <c r="R204" s="19"/>
      <c r="S204" s="19"/>
      <c r="T204" s="19"/>
      <c r="U204" s="19"/>
      <c r="V204" s="19"/>
      <c r="W204" s="19"/>
      <c r="X204" s="19"/>
      <c r="Y204" s="19"/>
      <c r="Z204" s="19"/>
      <c r="AA204" s="19"/>
      <c r="AB204" s="19"/>
      <c r="AC204" s="19"/>
      <c r="AD204" s="19"/>
      <c r="AE204" s="19"/>
      <c r="AF204" s="19"/>
      <c r="AG204" s="19"/>
      <c r="AH204" s="19"/>
      <c r="AI204" s="19"/>
      <c r="AJ204" s="19"/>
      <c r="AK204" s="19"/>
      <c r="AL204" s="19"/>
      <c r="AM204" s="19"/>
    </row>
    <row r="205" spans="1:39" x14ac:dyDescent="0.2">
      <c r="A205" s="19"/>
      <c r="B205" s="19"/>
      <c r="C205" s="19"/>
      <c r="D205" s="19"/>
      <c r="E205" s="19"/>
      <c r="F205" s="19"/>
      <c r="G205" s="20"/>
      <c r="H205" s="19"/>
      <c r="I205" s="19"/>
      <c r="J205" s="19"/>
      <c r="K205" s="19"/>
      <c r="L205" s="19"/>
      <c r="M205" s="19"/>
      <c r="N205" s="19"/>
      <c r="O205" s="19"/>
      <c r="P205" s="19"/>
      <c r="Q205" s="19"/>
      <c r="R205" s="19"/>
      <c r="S205" s="19"/>
      <c r="T205" s="19"/>
      <c r="U205" s="19"/>
      <c r="V205" s="19"/>
      <c r="W205" s="19"/>
      <c r="X205" s="19"/>
      <c r="Y205" s="19"/>
      <c r="Z205" s="19"/>
      <c r="AA205" s="19"/>
      <c r="AB205" s="19"/>
      <c r="AC205" s="19"/>
      <c r="AD205" s="19"/>
      <c r="AE205" s="19"/>
      <c r="AF205" s="19"/>
      <c r="AG205" s="19"/>
      <c r="AH205" s="19"/>
      <c r="AI205" s="19"/>
      <c r="AJ205" s="19"/>
      <c r="AK205" s="19"/>
      <c r="AL205" s="19"/>
      <c r="AM205" s="19"/>
    </row>
    <row r="206" spans="1:39" x14ac:dyDescent="0.2">
      <c r="A206" s="19"/>
      <c r="B206" s="19"/>
      <c r="C206" s="19"/>
      <c r="D206" s="19"/>
      <c r="E206" s="19"/>
      <c r="F206" s="19"/>
      <c r="G206" s="20"/>
      <c r="H206" s="19"/>
      <c r="I206" s="19"/>
      <c r="J206" s="19"/>
      <c r="K206" s="19"/>
      <c r="L206" s="19"/>
      <c r="M206" s="19"/>
      <c r="N206" s="19"/>
      <c r="O206" s="19"/>
      <c r="P206" s="19"/>
      <c r="Q206" s="19"/>
      <c r="R206" s="19"/>
      <c r="S206" s="19"/>
      <c r="T206" s="19"/>
      <c r="U206" s="19"/>
      <c r="V206" s="19"/>
      <c r="W206" s="19"/>
      <c r="X206" s="19"/>
      <c r="Y206" s="19"/>
      <c r="Z206" s="19"/>
      <c r="AA206" s="19"/>
      <c r="AB206" s="19"/>
      <c r="AC206" s="19"/>
      <c r="AD206" s="19"/>
      <c r="AE206" s="19"/>
      <c r="AF206" s="19"/>
      <c r="AG206" s="19"/>
      <c r="AH206" s="19"/>
      <c r="AI206" s="19"/>
      <c r="AJ206" s="19"/>
      <c r="AK206" s="19"/>
      <c r="AL206" s="19"/>
      <c r="AM206" s="19"/>
    </row>
    <row r="207" spans="1:39" x14ac:dyDescent="0.2">
      <c r="A207" s="19"/>
      <c r="B207" s="19"/>
      <c r="C207" s="19"/>
      <c r="D207" s="19"/>
      <c r="E207" s="19"/>
      <c r="F207" s="19"/>
      <c r="G207" s="20"/>
      <c r="H207" s="19"/>
      <c r="I207" s="19"/>
      <c r="J207" s="19"/>
      <c r="K207" s="19"/>
      <c r="L207" s="19"/>
      <c r="M207" s="19"/>
      <c r="N207" s="19"/>
      <c r="O207" s="19"/>
      <c r="P207" s="19"/>
      <c r="Q207" s="19"/>
      <c r="R207" s="19"/>
      <c r="S207" s="19"/>
      <c r="T207" s="19"/>
      <c r="U207" s="19"/>
      <c r="V207" s="19"/>
      <c r="W207" s="19"/>
      <c r="X207" s="19"/>
      <c r="Y207" s="19"/>
      <c r="Z207" s="19"/>
      <c r="AA207" s="19"/>
      <c r="AB207" s="19"/>
      <c r="AC207" s="19"/>
      <c r="AD207" s="19"/>
      <c r="AE207" s="19"/>
      <c r="AF207" s="19"/>
      <c r="AG207" s="19"/>
      <c r="AH207" s="19"/>
      <c r="AI207" s="19"/>
      <c r="AJ207" s="19"/>
      <c r="AK207" s="19"/>
      <c r="AL207" s="19"/>
      <c r="AM207" s="19"/>
    </row>
    <row r="208" spans="1:39" x14ac:dyDescent="0.2">
      <c r="A208" s="19"/>
      <c r="B208" s="19"/>
      <c r="C208" s="19"/>
      <c r="D208" s="19"/>
      <c r="E208" s="19"/>
      <c r="F208" s="19"/>
      <c r="G208" s="20"/>
      <c r="H208" s="19"/>
      <c r="I208" s="19"/>
      <c r="J208" s="19"/>
      <c r="K208" s="19"/>
      <c r="L208" s="19"/>
      <c r="M208" s="19"/>
      <c r="N208" s="19"/>
      <c r="O208" s="19"/>
      <c r="P208" s="19"/>
      <c r="Q208" s="19"/>
      <c r="R208" s="19"/>
      <c r="S208" s="19"/>
      <c r="T208" s="19"/>
      <c r="U208" s="19"/>
      <c r="V208" s="19"/>
      <c r="W208" s="19"/>
      <c r="X208" s="19"/>
      <c r="Y208" s="19"/>
      <c r="Z208" s="19"/>
      <c r="AA208" s="19"/>
      <c r="AB208" s="19"/>
      <c r="AC208" s="19"/>
      <c r="AD208" s="19"/>
      <c r="AE208" s="19"/>
      <c r="AF208" s="19"/>
      <c r="AG208" s="19"/>
      <c r="AH208" s="19"/>
      <c r="AI208" s="19"/>
      <c r="AJ208" s="19"/>
      <c r="AK208" s="19"/>
      <c r="AL208" s="19"/>
      <c r="AM208" s="19"/>
    </row>
    <row r="209" spans="1:39" x14ac:dyDescent="0.2">
      <c r="A209" s="19"/>
      <c r="B209" s="19"/>
      <c r="C209" s="19"/>
      <c r="D209" s="19"/>
      <c r="E209" s="19"/>
      <c r="F209" s="19"/>
      <c r="G209" s="20"/>
      <c r="H209" s="19"/>
      <c r="I209" s="19"/>
      <c r="J209" s="19"/>
      <c r="K209" s="19"/>
      <c r="L209" s="19"/>
      <c r="M209" s="19"/>
      <c r="N209" s="19"/>
      <c r="O209" s="19"/>
      <c r="P209" s="19"/>
      <c r="Q209" s="19"/>
      <c r="R209" s="19"/>
      <c r="S209" s="19"/>
      <c r="T209" s="19"/>
      <c r="U209" s="19"/>
      <c r="V209" s="19"/>
      <c r="W209" s="19"/>
      <c r="X209" s="19"/>
      <c r="Y209" s="19"/>
      <c r="Z209" s="19"/>
      <c r="AA209" s="19"/>
      <c r="AB209" s="19"/>
      <c r="AC209" s="19"/>
      <c r="AD209" s="19"/>
      <c r="AE209" s="19"/>
      <c r="AF209" s="19"/>
      <c r="AG209" s="19"/>
      <c r="AH209" s="19"/>
      <c r="AI209" s="19"/>
      <c r="AJ209" s="19"/>
      <c r="AK209" s="19"/>
      <c r="AL209" s="19"/>
      <c r="AM209" s="19"/>
    </row>
    <row r="210" spans="1:39" x14ac:dyDescent="0.2">
      <c r="A210" s="19"/>
      <c r="B210" s="19"/>
      <c r="C210" s="19"/>
      <c r="D210" s="19"/>
      <c r="E210" s="19"/>
      <c r="F210" s="19"/>
      <c r="G210" s="20"/>
      <c r="H210" s="19"/>
      <c r="I210" s="19"/>
      <c r="J210" s="19"/>
      <c r="K210" s="19"/>
      <c r="L210" s="19"/>
      <c r="M210" s="19"/>
      <c r="N210" s="19"/>
      <c r="O210" s="19"/>
      <c r="P210" s="19"/>
      <c r="Q210" s="19"/>
      <c r="R210" s="19"/>
      <c r="S210" s="19"/>
      <c r="T210" s="19"/>
      <c r="U210" s="19"/>
      <c r="V210" s="19"/>
      <c r="W210" s="19"/>
      <c r="X210" s="19"/>
      <c r="Y210" s="19"/>
      <c r="Z210" s="19"/>
      <c r="AA210" s="19"/>
      <c r="AB210" s="19"/>
      <c r="AC210" s="19"/>
      <c r="AD210" s="19"/>
      <c r="AE210" s="19"/>
      <c r="AF210" s="19"/>
      <c r="AG210" s="19"/>
      <c r="AH210" s="19"/>
      <c r="AI210" s="19"/>
      <c r="AJ210" s="19"/>
      <c r="AK210" s="19"/>
      <c r="AL210" s="19"/>
      <c r="AM210" s="19"/>
    </row>
    <row r="211" spans="1:39" x14ac:dyDescent="0.2">
      <c r="A211" s="19"/>
      <c r="B211" s="19"/>
      <c r="C211" s="19"/>
      <c r="D211" s="19"/>
      <c r="E211" s="19"/>
      <c r="F211" s="19"/>
      <c r="G211" s="20"/>
      <c r="H211" s="19"/>
      <c r="I211" s="19"/>
      <c r="J211" s="19"/>
      <c r="K211" s="19"/>
      <c r="L211" s="19"/>
      <c r="M211" s="19"/>
      <c r="N211" s="19"/>
      <c r="O211" s="19"/>
      <c r="P211" s="19"/>
      <c r="Q211" s="19"/>
      <c r="R211" s="19"/>
      <c r="S211" s="19"/>
      <c r="T211" s="19"/>
      <c r="U211" s="19"/>
      <c r="V211" s="19"/>
      <c r="W211" s="19"/>
      <c r="X211" s="19"/>
      <c r="Y211" s="19"/>
      <c r="Z211" s="19"/>
      <c r="AA211" s="19"/>
      <c r="AB211" s="19"/>
      <c r="AC211" s="19"/>
      <c r="AD211" s="19"/>
      <c r="AE211" s="19"/>
      <c r="AF211" s="19"/>
      <c r="AG211" s="19"/>
      <c r="AH211" s="19"/>
      <c r="AI211" s="19"/>
      <c r="AJ211" s="19"/>
      <c r="AK211" s="19"/>
      <c r="AL211" s="19"/>
      <c r="AM211" s="19"/>
    </row>
    <row r="212" spans="1:39" x14ac:dyDescent="0.2">
      <c r="A212" s="19"/>
      <c r="B212" s="19"/>
      <c r="C212" s="19"/>
      <c r="D212" s="19"/>
      <c r="E212" s="19"/>
      <c r="F212" s="19"/>
      <c r="G212" s="20"/>
      <c r="H212" s="19"/>
      <c r="I212" s="19"/>
      <c r="J212" s="19"/>
      <c r="K212" s="19"/>
      <c r="L212" s="19"/>
      <c r="M212" s="19"/>
      <c r="N212" s="19"/>
      <c r="O212" s="19"/>
      <c r="P212" s="19"/>
      <c r="Q212" s="19"/>
      <c r="R212" s="19"/>
      <c r="S212" s="19"/>
      <c r="T212" s="19"/>
      <c r="U212" s="19"/>
      <c r="V212" s="19"/>
      <c r="W212" s="19"/>
      <c r="X212" s="19"/>
      <c r="Y212" s="19"/>
      <c r="Z212" s="19"/>
      <c r="AA212" s="19"/>
      <c r="AB212" s="19"/>
      <c r="AC212" s="19"/>
      <c r="AD212" s="19"/>
      <c r="AE212" s="19"/>
      <c r="AF212" s="19"/>
      <c r="AG212" s="19"/>
      <c r="AH212" s="19"/>
      <c r="AI212" s="19"/>
      <c r="AJ212" s="19"/>
      <c r="AK212" s="19"/>
      <c r="AL212" s="19"/>
      <c r="AM212" s="19"/>
    </row>
    <row r="213" spans="1:39" x14ac:dyDescent="0.2">
      <c r="A213" s="19"/>
      <c r="B213" s="19"/>
      <c r="C213" s="19"/>
      <c r="D213" s="19"/>
      <c r="E213" s="19"/>
      <c r="F213" s="19"/>
      <c r="G213" s="20"/>
      <c r="H213" s="19"/>
      <c r="I213" s="19"/>
      <c r="J213" s="19"/>
      <c r="K213" s="19"/>
      <c r="L213" s="19"/>
      <c r="M213" s="19"/>
      <c r="N213" s="19"/>
      <c r="O213" s="19"/>
      <c r="P213" s="19"/>
      <c r="Q213" s="19"/>
      <c r="R213" s="19"/>
      <c r="S213" s="19"/>
      <c r="T213" s="19"/>
      <c r="U213" s="19"/>
      <c r="V213" s="19"/>
      <c r="W213" s="19"/>
      <c r="X213" s="19"/>
      <c r="Y213" s="19"/>
      <c r="Z213" s="19"/>
      <c r="AA213" s="19"/>
      <c r="AB213" s="19"/>
      <c r="AC213" s="19"/>
      <c r="AD213" s="19"/>
      <c r="AE213" s="19"/>
      <c r="AF213" s="19"/>
      <c r="AG213" s="19"/>
      <c r="AH213" s="19"/>
      <c r="AI213" s="19"/>
      <c r="AJ213" s="19"/>
      <c r="AK213" s="19"/>
      <c r="AL213" s="19"/>
      <c r="AM213" s="19"/>
    </row>
    <row r="214" spans="1:39" x14ac:dyDescent="0.2">
      <c r="A214" s="19"/>
      <c r="B214" s="19"/>
      <c r="C214" s="19"/>
      <c r="D214" s="19"/>
      <c r="E214" s="19"/>
      <c r="F214" s="19"/>
      <c r="G214" s="20"/>
      <c r="H214" s="19"/>
      <c r="I214" s="19"/>
      <c r="J214" s="19"/>
      <c r="K214" s="19"/>
      <c r="L214" s="19"/>
      <c r="M214" s="19"/>
      <c r="N214" s="19"/>
      <c r="O214" s="19"/>
      <c r="P214" s="19"/>
      <c r="Q214" s="19"/>
      <c r="R214" s="19"/>
      <c r="S214" s="19"/>
      <c r="T214" s="19"/>
      <c r="U214" s="19"/>
      <c r="V214" s="19"/>
      <c r="W214" s="19"/>
      <c r="X214" s="19"/>
      <c r="Y214" s="19"/>
      <c r="Z214" s="19"/>
      <c r="AA214" s="19"/>
      <c r="AB214" s="19"/>
      <c r="AC214" s="19"/>
      <c r="AD214" s="19"/>
      <c r="AE214" s="19"/>
      <c r="AF214" s="19"/>
      <c r="AG214" s="19"/>
      <c r="AH214" s="19"/>
      <c r="AI214" s="19"/>
      <c r="AJ214" s="19"/>
      <c r="AK214" s="19"/>
      <c r="AL214" s="19"/>
      <c r="AM214" s="19"/>
    </row>
    <row r="215" spans="1:39" x14ac:dyDescent="0.2">
      <c r="A215" s="19"/>
      <c r="B215" s="19"/>
      <c r="C215" s="19"/>
      <c r="D215" s="19"/>
      <c r="E215" s="19"/>
      <c r="F215" s="19"/>
      <c r="G215" s="20"/>
      <c r="H215" s="19"/>
      <c r="I215" s="19"/>
      <c r="J215" s="19"/>
      <c r="K215" s="19"/>
      <c r="L215" s="19"/>
      <c r="M215" s="19"/>
      <c r="N215" s="19"/>
      <c r="O215" s="19"/>
      <c r="P215" s="19"/>
      <c r="Q215" s="19"/>
      <c r="R215" s="19"/>
      <c r="S215" s="19"/>
      <c r="T215" s="19"/>
      <c r="U215" s="19"/>
      <c r="V215" s="19"/>
      <c r="W215" s="19"/>
      <c r="X215" s="19"/>
      <c r="Y215" s="19"/>
      <c r="Z215" s="19"/>
      <c r="AA215" s="19"/>
      <c r="AB215" s="19"/>
      <c r="AC215" s="19"/>
      <c r="AD215" s="19"/>
      <c r="AE215" s="19"/>
      <c r="AF215" s="19"/>
      <c r="AG215" s="19"/>
      <c r="AH215" s="19"/>
      <c r="AI215" s="19"/>
      <c r="AJ215" s="19"/>
      <c r="AK215" s="19"/>
      <c r="AL215" s="19"/>
      <c r="AM215" s="19"/>
    </row>
    <row r="216" spans="1:39" x14ac:dyDescent="0.2">
      <c r="A216" s="19"/>
      <c r="B216" s="19"/>
      <c r="C216" s="19"/>
      <c r="D216" s="19"/>
      <c r="E216" s="19"/>
      <c r="F216" s="19"/>
      <c r="G216" s="20"/>
      <c r="H216" s="19"/>
      <c r="I216" s="19"/>
      <c r="J216" s="19"/>
      <c r="K216" s="19"/>
      <c r="L216" s="19"/>
      <c r="M216" s="19"/>
      <c r="N216" s="19"/>
      <c r="O216" s="19"/>
      <c r="P216" s="19"/>
      <c r="Q216" s="19"/>
      <c r="R216" s="19"/>
      <c r="S216" s="19"/>
      <c r="T216" s="19"/>
      <c r="U216" s="19"/>
      <c r="V216" s="19"/>
      <c r="W216" s="19"/>
      <c r="X216" s="19"/>
      <c r="Y216" s="19"/>
      <c r="Z216" s="19"/>
      <c r="AA216" s="19"/>
      <c r="AB216" s="19"/>
      <c r="AC216" s="19"/>
      <c r="AD216" s="19"/>
      <c r="AE216" s="19"/>
      <c r="AF216" s="19"/>
      <c r="AG216" s="19"/>
      <c r="AH216" s="19"/>
      <c r="AI216" s="19"/>
      <c r="AJ216" s="19"/>
      <c r="AK216" s="19"/>
      <c r="AL216" s="19"/>
      <c r="AM216" s="19"/>
    </row>
    <row r="217" spans="1:39" x14ac:dyDescent="0.2">
      <c r="A217" s="19"/>
      <c r="B217" s="19"/>
      <c r="C217" s="19"/>
      <c r="D217" s="19"/>
      <c r="E217" s="19"/>
      <c r="F217" s="19"/>
      <c r="G217" s="20"/>
      <c r="H217" s="19"/>
      <c r="I217" s="19"/>
      <c r="J217" s="19"/>
      <c r="K217" s="19"/>
      <c r="L217" s="19"/>
      <c r="M217" s="19"/>
      <c r="N217" s="19"/>
      <c r="O217" s="19"/>
      <c r="P217" s="19"/>
      <c r="Q217" s="19"/>
      <c r="R217" s="19"/>
      <c r="S217" s="19"/>
      <c r="T217" s="19"/>
      <c r="U217" s="19"/>
      <c r="V217" s="19"/>
      <c r="W217" s="19"/>
      <c r="X217" s="19"/>
      <c r="Y217" s="19"/>
      <c r="Z217" s="19"/>
      <c r="AA217" s="19"/>
      <c r="AB217" s="19"/>
      <c r="AC217" s="19"/>
      <c r="AD217" s="19"/>
      <c r="AE217" s="19"/>
      <c r="AF217" s="19"/>
      <c r="AG217" s="19"/>
      <c r="AH217" s="19"/>
      <c r="AI217" s="19"/>
      <c r="AJ217" s="19"/>
      <c r="AK217" s="19"/>
      <c r="AL217" s="19"/>
      <c r="AM217" s="19"/>
    </row>
    <row r="218" spans="1:39" x14ac:dyDescent="0.2">
      <c r="A218" s="19"/>
      <c r="B218" s="19"/>
      <c r="C218" s="19"/>
      <c r="D218" s="19"/>
      <c r="E218" s="19"/>
      <c r="F218" s="19"/>
      <c r="G218" s="20"/>
      <c r="H218" s="19"/>
      <c r="I218" s="19"/>
      <c r="J218" s="19"/>
      <c r="K218" s="19"/>
      <c r="L218" s="19"/>
      <c r="M218" s="19"/>
      <c r="N218" s="19"/>
      <c r="O218" s="19"/>
      <c r="P218" s="19"/>
      <c r="Q218" s="19"/>
      <c r="R218" s="19"/>
      <c r="S218" s="19"/>
      <c r="T218" s="19"/>
      <c r="U218" s="19"/>
      <c r="V218" s="19"/>
      <c r="W218" s="19"/>
      <c r="X218" s="19"/>
      <c r="Y218" s="19"/>
      <c r="Z218" s="19"/>
      <c r="AA218" s="19"/>
      <c r="AB218" s="19"/>
      <c r="AC218" s="19"/>
      <c r="AD218" s="19"/>
      <c r="AE218" s="19"/>
      <c r="AF218" s="19"/>
      <c r="AG218" s="19"/>
      <c r="AH218" s="19"/>
      <c r="AI218" s="19"/>
      <c r="AJ218" s="19"/>
      <c r="AK218" s="19"/>
      <c r="AL218" s="19"/>
      <c r="AM218" s="19"/>
    </row>
    <row r="219" spans="1:39" x14ac:dyDescent="0.2">
      <c r="A219" s="19"/>
      <c r="B219" s="19"/>
      <c r="C219" s="19"/>
      <c r="D219" s="19"/>
      <c r="E219" s="19"/>
      <c r="F219" s="19"/>
      <c r="G219" s="20"/>
      <c r="H219" s="19"/>
      <c r="I219" s="19"/>
      <c r="J219" s="19"/>
      <c r="K219" s="19"/>
      <c r="L219" s="19"/>
      <c r="M219" s="19"/>
      <c r="N219" s="19"/>
      <c r="O219" s="19"/>
      <c r="P219" s="19"/>
      <c r="Q219" s="19"/>
      <c r="R219" s="19"/>
      <c r="S219" s="19"/>
      <c r="T219" s="19"/>
      <c r="U219" s="19"/>
      <c r="V219" s="19"/>
      <c r="W219" s="19"/>
      <c r="X219" s="19"/>
      <c r="Y219" s="19"/>
      <c r="Z219" s="19"/>
      <c r="AA219" s="19"/>
      <c r="AB219" s="19"/>
      <c r="AC219" s="19"/>
      <c r="AD219" s="19"/>
      <c r="AE219" s="19"/>
      <c r="AF219" s="19"/>
      <c r="AG219" s="19"/>
      <c r="AH219" s="19"/>
      <c r="AI219" s="19"/>
      <c r="AJ219" s="19"/>
      <c r="AK219" s="19"/>
      <c r="AL219" s="19"/>
      <c r="AM219" s="19"/>
    </row>
    <row r="220" spans="1:39" x14ac:dyDescent="0.2">
      <c r="A220" s="19"/>
      <c r="B220" s="19"/>
      <c r="C220" s="19"/>
      <c r="D220" s="19"/>
      <c r="E220" s="19"/>
      <c r="F220" s="19"/>
      <c r="G220" s="20"/>
      <c r="H220" s="19"/>
      <c r="I220" s="19"/>
      <c r="J220" s="19"/>
      <c r="K220" s="19"/>
      <c r="L220" s="19"/>
      <c r="M220" s="19"/>
      <c r="N220" s="19"/>
      <c r="O220" s="19"/>
      <c r="P220" s="19"/>
      <c r="Q220" s="19"/>
      <c r="R220" s="19"/>
      <c r="S220" s="19"/>
      <c r="T220" s="19"/>
      <c r="U220" s="19"/>
      <c r="V220" s="19"/>
      <c r="W220" s="19"/>
      <c r="X220" s="19"/>
      <c r="Y220" s="19"/>
      <c r="Z220" s="19"/>
      <c r="AA220" s="19"/>
      <c r="AB220" s="19"/>
      <c r="AC220" s="19"/>
      <c r="AD220" s="19"/>
      <c r="AE220" s="19"/>
      <c r="AF220" s="19"/>
      <c r="AG220" s="19"/>
      <c r="AH220" s="19"/>
      <c r="AI220" s="19"/>
      <c r="AJ220" s="19"/>
      <c r="AK220" s="19"/>
      <c r="AL220" s="19"/>
      <c r="AM220" s="19"/>
    </row>
    <row r="221" spans="1:39" x14ac:dyDescent="0.2">
      <c r="A221" s="19"/>
      <c r="B221" s="19"/>
      <c r="C221" s="19"/>
      <c r="D221" s="19"/>
      <c r="E221" s="19"/>
      <c r="F221" s="19"/>
      <c r="G221" s="20"/>
      <c r="H221" s="19"/>
      <c r="I221" s="19"/>
      <c r="J221" s="19"/>
      <c r="K221" s="19"/>
      <c r="L221" s="19"/>
      <c r="M221" s="19"/>
      <c r="N221" s="19"/>
      <c r="O221" s="19"/>
      <c r="P221" s="19"/>
      <c r="Q221" s="19"/>
      <c r="R221" s="19"/>
      <c r="S221" s="19"/>
      <c r="T221" s="19"/>
      <c r="U221" s="19"/>
      <c r="V221" s="19"/>
      <c r="W221" s="19"/>
      <c r="X221" s="19"/>
      <c r="Y221" s="19"/>
      <c r="Z221" s="19"/>
      <c r="AA221" s="19"/>
      <c r="AB221" s="19"/>
      <c r="AC221" s="19"/>
      <c r="AD221" s="19"/>
      <c r="AE221" s="19"/>
      <c r="AF221" s="19"/>
      <c r="AG221" s="19"/>
      <c r="AH221" s="19"/>
      <c r="AI221" s="19"/>
      <c r="AJ221" s="19"/>
      <c r="AK221" s="19"/>
      <c r="AL221" s="19"/>
      <c r="AM221" s="19"/>
    </row>
    <row r="222" spans="1:39" x14ac:dyDescent="0.2">
      <c r="A222" s="19"/>
      <c r="B222" s="19"/>
      <c r="C222" s="19"/>
      <c r="D222" s="19"/>
      <c r="E222" s="19"/>
      <c r="F222" s="19"/>
      <c r="G222" s="20"/>
      <c r="H222" s="19"/>
      <c r="I222" s="19"/>
      <c r="J222" s="19"/>
      <c r="K222" s="19"/>
      <c r="L222" s="19"/>
      <c r="M222" s="19"/>
      <c r="N222" s="19"/>
      <c r="O222" s="19"/>
      <c r="P222" s="19"/>
      <c r="Q222" s="19"/>
      <c r="R222" s="19"/>
      <c r="S222" s="19"/>
      <c r="T222" s="19"/>
      <c r="U222" s="19"/>
      <c r="V222" s="19"/>
      <c r="W222" s="19"/>
      <c r="X222" s="19"/>
      <c r="Y222" s="19"/>
      <c r="Z222" s="19"/>
      <c r="AA222" s="19"/>
      <c r="AB222" s="19"/>
      <c r="AC222" s="19"/>
      <c r="AD222" s="19"/>
      <c r="AE222" s="19"/>
      <c r="AF222" s="19"/>
      <c r="AG222" s="19"/>
      <c r="AH222" s="19"/>
      <c r="AI222" s="19"/>
      <c r="AJ222" s="19"/>
      <c r="AK222" s="19"/>
      <c r="AL222" s="19"/>
      <c r="AM222" s="19"/>
    </row>
    <row r="223" spans="1:39" x14ac:dyDescent="0.2">
      <c r="A223" s="19"/>
      <c r="B223" s="19"/>
      <c r="C223" s="19"/>
      <c r="D223" s="19"/>
      <c r="E223" s="19"/>
      <c r="F223" s="19"/>
      <c r="G223" s="20"/>
      <c r="H223" s="19"/>
      <c r="I223" s="19"/>
      <c r="J223" s="19"/>
      <c r="K223" s="19"/>
      <c r="L223" s="19"/>
      <c r="M223" s="19"/>
      <c r="N223" s="19"/>
      <c r="O223" s="19"/>
      <c r="P223" s="19"/>
      <c r="Q223" s="19"/>
      <c r="R223" s="19"/>
      <c r="S223" s="19"/>
      <c r="T223" s="19"/>
      <c r="U223" s="19"/>
      <c r="V223" s="19"/>
      <c r="W223" s="19"/>
      <c r="X223" s="19"/>
      <c r="Y223" s="19"/>
      <c r="Z223" s="19"/>
      <c r="AA223" s="19"/>
      <c r="AB223" s="19"/>
      <c r="AC223" s="19"/>
      <c r="AD223" s="19"/>
      <c r="AE223" s="19"/>
      <c r="AF223" s="19"/>
      <c r="AG223" s="19"/>
      <c r="AH223" s="19"/>
      <c r="AI223" s="19"/>
      <c r="AJ223" s="19"/>
      <c r="AK223" s="19"/>
      <c r="AL223" s="19"/>
      <c r="AM223" s="19"/>
    </row>
    <row r="224" spans="1:39" x14ac:dyDescent="0.2">
      <c r="A224" s="19"/>
      <c r="B224" s="19"/>
      <c r="C224" s="19"/>
      <c r="D224" s="19"/>
      <c r="E224" s="19"/>
      <c r="F224" s="19"/>
      <c r="G224" s="20"/>
      <c r="H224" s="19"/>
      <c r="I224" s="19"/>
      <c r="J224" s="19"/>
      <c r="K224" s="19"/>
      <c r="L224" s="19"/>
      <c r="M224" s="19"/>
      <c r="N224" s="19"/>
      <c r="O224" s="19"/>
      <c r="P224" s="19"/>
      <c r="Q224" s="19"/>
      <c r="R224" s="19"/>
      <c r="S224" s="19"/>
      <c r="T224" s="19"/>
      <c r="U224" s="19"/>
      <c r="V224" s="19"/>
      <c r="W224" s="19"/>
      <c r="X224" s="19"/>
      <c r="Y224" s="19"/>
      <c r="Z224" s="19"/>
      <c r="AA224" s="19"/>
      <c r="AB224" s="19"/>
      <c r="AC224" s="19"/>
      <c r="AD224" s="19"/>
      <c r="AE224" s="19"/>
      <c r="AF224" s="19"/>
      <c r="AG224" s="19"/>
      <c r="AH224" s="19"/>
      <c r="AI224" s="19"/>
      <c r="AJ224" s="19"/>
      <c r="AK224" s="19"/>
      <c r="AL224" s="19"/>
      <c r="AM224" s="19"/>
    </row>
    <row r="225" spans="1:39" x14ac:dyDescent="0.2">
      <c r="A225" s="19"/>
      <c r="B225" s="19"/>
      <c r="C225" s="19"/>
      <c r="D225" s="19"/>
      <c r="E225" s="19"/>
      <c r="F225" s="19"/>
      <c r="G225" s="20"/>
      <c r="H225" s="19"/>
      <c r="I225" s="19"/>
      <c r="J225" s="19"/>
      <c r="K225" s="19"/>
      <c r="L225" s="19"/>
      <c r="M225" s="19"/>
      <c r="N225" s="19"/>
      <c r="O225" s="19"/>
      <c r="P225" s="19"/>
      <c r="Q225" s="19"/>
      <c r="R225" s="19"/>
      <c r="S225" s="19"/>
      <c r="T225" s="19"/>
      <c r="U225" s="19"/>
      <c r="V225" s="19"/>
      <c r="W225" s="19"/>
      <c r="X225" s="19"/>
      <c r="Y225" s="19"/>
      <c r="Z225" s="19"/>
      <c r="AA225" s="19"/>
      <c r="AB225" s="19"/>
      <c r="AC225" s="19"/>
      <c r="AD225" s="19"/>
      <c r="AE225" s="19"/>
      <c r="AF225" s="19"/>
      <c r="AG225" s="19"/>
      <c r="AH225" s="19"/>
      <c r="AI225" s="19"/>
      <c r="AJ225" s="19"/>
      <c r="AK225" s="19"/>
      <c r="AL225" s="19"/>
      <c r="AM225" s="19"/>
    </row>
    <row r="226" spans="1:39" x14ac:dyDescent="0.2">
      <c r="A226" s="19"/>
      <c r="B226" s="19"/>
      <c r="C226" s="19"/>
      <c r="D226" s="19"/>
      <c r="E226" s="19"/>
      <c r="F226" s="19"/>
      <c r="G226" s="20"/>
      <c r="H226" s="19"/>
      <c r="I226" s="19"/>
      <c r="J226" s="19"/>
      <c r="K226" s="19"/>
      <c r="L226" s="19"/>
      <c r="M226" s="19"/>
      <c r="N226" s="19"/>
      <c r="O226" s="19"/>
      <c r="P226" s="19"/>
      <c r="Q226" s="19"/>
      <c r="R226" s="19"/>
      <c r="S226" s="19"/>
      <c r="T226" s="19"/>
      <c r="U226" s="19"/>
      <c r="V226" s="19"/>
      <c r="W226" s="19"/>
      <c r="X226" s="19"/>
      <c r="Y226" s="19"/>
      <c r="Z226" s="19"/>
      <c r="AA226" s="19"/>
      <c r="AB226" s="19"/>
      <c r="AC226" s="19"/>
      <c r="AD226" s="19"/>
      <c r="AE226" s="19"/>
      <c r="AF226" s="19"/>
      <c r="AG226" s="19"/>
      <c r="AH226" s="19"/>
      <c r="AI226" s="19"/>
      <c r="AJ226" s="19"/>
      <c r="AK226" s="19"/>
      <c r="AL226" s="19"/>
      <c r="AM226" s="19"/>
    </row>
    <row r="227" spans="1:39" x14ac:dyDescent="0.2">
      <c r="G227" s="20"/>
    </row>
    <row r="228" spans="1:39" x14ac:dyDescent="0.2">
      <c r="G228" s="20"/>
    </row>
    <row r="229" spans="1:39" x14ac:dyDescent="0.2">
      <c r="G229" s="20"/>
    </row>
  </sheetData>
  <sheetProtection selectLockedCells="1"/>
  <mergeCells count="18">
    <mergeCell ref="AR59:AR65"/>
    <mergeCell ref="B62:B68"/>
    <mergeCell ref="L2:M2"/>
    <mergeCell ref="A1:M1"/>
    <mergeCell ref="D11:E12"/>
    <mergeCell ref="D14:G15"/>
    <mergeCell ref="I68:M68"/>
    <mergeCell ref="D16:I16"/>
    <mergeCell ref="D17:I17"/>
    <mergeCell ref="D18:I18"/>
    <mergeCell ref="D19:I19"/>
    <mergeCell ref="B83:C87"/>
    <mergeCell ref="D23:F23"/>
    <mergeCell ref="B16:B19"/>
    <mergeCell ref="D22:F22"/>
    <mergeCell ref="D24:F25"/>
    <mergeCell ref="B33:B34"/>
    <mergeCell ref="B43:B45"/>
  </mergeCells>
  <phoneticPr fontId="6" type="noConversion"/>
  <conditionalFormatting sqref="F97">
    <cfRule type="cellIs" dxfId="38" priority="65" stopIfTrue="1" operator="greaterThanOrEqual">
      <formula>F96</formula>
    </cfRule>
  </conditionalFormatting>
  <conditionalFormatting sqref="F99">
    <cfRule type="expression" dxfId="37" priority="66" stopIfTrue="1">
      <formula>F95="Option A"</formula>
    </cfRule>
  </conditionalFormatting>
  <conditionalFormatting sqref="G99">
    <cfRule type="expression" dxfId="36" priority="67" stopIfTrue="1">
      <formula>F95="Option A"</formula>
    </cfRule>
  </conditionalFormatting>
  <conditionalFormatting sqref="E99">
    <cfRule type="expression" dxfId="35" priority="68" stopIfTrue="1">
      <formula>F95="Option A"</formula>
    </cfRule>
  </conditionalFormatting>
  <conditionalFormatting sqref="F103">
    <cfRule type="expression" dxfId="34" priority="69" stopIfTrue="1">
      <formula>F95="Option A"</formula>
    </cfRule>
  </conditionalFormatting>
  <conditionalFormatting sqref="E103">
    <cfRule type="expression" dxfId="33" priority="71" stopIfTrue="1">
      <formula>F95="Option A"</formula>
    </cfRule>
  </conditionalFormatting>
  <conditionalFormatting sqref="F40">
    <cfRule type="cellIs" dxfId="32" priority="72" stopIfTrue="1" operator="greaterThan">
      <formula>200</formula>
    </cfRule>
  </conditionalFormatting>
  <conditionalFormatting sqref="D110:F110 D112:F113">
    <cfRule type="cellIs" dxfId="31" priority="74" stopIfTrue="1" operator="notBetween">
      <formula>2.9</formula>
      <formula>17</formula>
    </cfRule>
  </conditionalFormatting>
  <conditionalFormatting sqref="D111:F111">
    <cfRule type="cellIs" dxfId="30" priority="75" stopIfTrue="1" operator="notBetween">
      <formula>2.65</formula>
      <formula>17</formula>
    </cfRule>
  </conditionalFormatting>
  <conditionalFormatting sqref="G103">
    <cfRule type="expression" dxfId="29" priority="62">
      <formula>F95="Option A"</formula>
    </cfRule>
  </conditionalFormatting>
  <conditionalFormatting sqref="G107">
    <cfRule type="expression" dxfId="28" priority="61">
      <formula>F95="Option A"</formula>
    </cfRule>
  </conditionalFormatting>
  <conditionalFormatting sqref="F107">
    <cfRule type="expression" dxfId="27" priority="60">
      <formula>F95="Option A"</formula>
    </cfRule>
  </conditionalFormatting>
  <conditionalFormatting sqref="E107">
    <cfRule type="expression" dxfId="26" priority="59">
      <formula>F95="Option A"</formula>
    </cfRule>
  </conditionalFormatting>
  <conditionalFormatting sqref="F63">
    <cfRule type="colorScale" priority="36">
      <colorScale>
        <cfvo type="min"/>
        <cfvo type="formula" val="$AN$56*0.8"/>
        <cfvo type="num" val="$AN$56"/>
        <color theme="0"/>
        <color rgb="FFFFC000"/>
        <color rgb="FFFF0000"/>
      </colorScale>
    </cfRule>
  </conditionalFormatting>
  <conditionalFormatting sqref="F41:F42">
    <cfRule type="cellIs" dxfId="25" priority="33" operator="equal">
      <formula>"NA"</formula>
    </cfRule>
    <cfRule type="cellIs" dxfId="24" priority="39" operator="equal">
      <formula>"""NA"""</formula>
    </cfRule>
  </conditionalFormatting>
  <conditionalFormatting sqref="F74">
    <cfRule type="cellIs" dxfId="23" priority="78" operator="lessThan">
      <formula>0.25</formula>
    </cfRule>
  </conditionalFormatting>
  <conditionalFormatting sqref="F77">
    <cfRule type="cellIs" dxfId="22" priority="29" operator="lessThan">
      <formula>$F$76</formula>
    </cfRule>
  </conditionalFormatting>
  <conditionalFormatting sqref="F79">
    <cfRule type="cellIs" dxfId="21" priority="26" operator="lessThan">
      <formula>1.1</formula>
    </cfRule>
    <cfRule type="cellIs" dxfId="20" priority="27" operator="between">
      <formula>1.1</formula>
      <formula>1.3</formula>
    </cfRule>
  </conditionalFormatting>
  <conditionalFormatting sqref="E72:F72">
    <cfRule type="expression" dxfId="19" priority="76">
      <formula>#REF!="Yes"</formula>
    </cfRule>
  </conditionalFormatting>
  <conditionalFormatting sqref="G83 G85:G90">
    <cfRule type="expression" dxfId="18" priority="24">
      <formula>#REF!="Yes"</formula>
    </cfRule>
  </conditionalFormatting>
  <conditionalFormatting sqref="E73:G79">
    <cfRule type="expression" dxfId="17" priority="22" stopIfTrue="1">
      <formula>$F$72="Yes"</formula>
    </cfRule>
  </conditionalFormatting>
  <conditionalFormatting sqref="B80:G92">
    <cfRule type="expression" dxfId="16" priority="16" stopIfTrue="1">
      <formula>$F$72="NO"</formula>
    </cfRule>
  </conditionalFormatting>
  <conditionalFormatting sqref="F83 F86">
    <cfRule type="cellIs" dxfId="15" priority="17" operator="greaterThanOrEqual">
      <formula>$F$81</formula>
    </cfRule>
  </conditionalFormatting>
  <conditionalFormatting sqref="F87 F92">
    <cfRule type="cellIs" dxfId="14" priority="18" operator="between">
      <formula>1.1</formula>
      <formula>1.2999</formula>
    </cfRule>
    <cfRule type="cellIs" dxfId="13" priority="19" operator="lessThan">
      <formula>1.1</formula>
    </cfRule>
  </conditionalFormatting>
  <conditionalFormatting sqref="F68">
    <cfRule type="cellIs" dxfId="12" priority="15" operator="lessThan">
      <formula>$F$64</formula>
    </cfRule>
  </conditionalFormatting>
  <conditionalFormatting sqref="F80">
    <cfRule type="expression" dxfId="11" priority="14">
      <formula>#REF!="Yes"</formula>
    </cfRule>
  </conditionalFormatting>
  <conditionalFormatting sqref="E41:G45">
    <cfRule type="expression" dxfId="10" priority="11" stopIfTrue="1">
      <formula>IF($F$39="No", "TRUE", "FALSE")</formula>
    </cfRule>
  </conditionalFormatting>
  <conditionalFormatting sqref="F46:F48">
    <cfRule type="cellIs" dxfId="9" priority="10" operator="lessThan">
      <formula>$F$30</formula>
    </cfRule>
  </conditionalFormatting>
  <conditionalFormatting sqref="B83">
    <cfRule type="expression" dxfId="8" priority="9" stopIfTrue="1">
      <formula>$F$72="NO"</formula>
    </cfRule>
  </conditionalFormatting>
  <conditionalFormatting sqref="B27:AM51 B69:AM154 C62:AM67 C68:I68 N68:AM68 B52:E61 G52:AM61">
    <cfRule type="expression" dxfId="7" priority="7">
      <formula>$G$23="No"</formula>
    </cfRule>
    <cfRule type="expression" dxfId="6" priority="8">
      <formula>$G$22="No"</formula>
    </cfRule>
  </conditionalFormatting>
  <conditionalFormatting sqref="AR59:AR65">
    <cfRule type="expression" dxfId="5" priority="5">
      <formula>$G$23="No"</formula>
    </cfRule>
    <cfRule type="expression" dxfId="4" priority="6">
      <formula>$G$22="No"</formula>
    </cfRule>
  </conditionalFormatting>
  <conditionalFormatting sqref="B62:B68">
    <cfRule type="expression" dxfId="3" priority="3">
      <formula>$G$23="No"</formula>
    </cfRule>
    <cfRule type="expression" dxfId="2" priority="4">
      <formula>$G$22="No"</formula>
    </cfRule>
  </conditionalFormatting>
  <conditionalFormatting sqref="F52:F61">
    <cfRule type="expression" dxfId="1" priority="1">
      <formula>$G$23="No"</formula>
    </cfRule>
    <cfRule type="expression" dxfId="0" priority="2">
      <formula>$G$22="No"</formula>
    </cfRule>
  </conditionalFormatting>
  <dataValidations xWindow="815" yWindow="414" count="19">
    <dataValidation type="decimal" allowBlank="1" showInputMessage="1" showErrorMessage="1" errorTitle="Lower UVLO Violation" error="The lower UVLO threshold MUST be at least 2.65V, and  less than the upper UVLO threshold. They cannot be equal." sqref="F97">
      <formula1>2.65</formula1>
      <formula2>F96</formula2>
    </dataValidation>
    <dataValidation type="decimal" allowBlank="1" showInputMessage="1" showErrorMessage="1" errorTitle="Upper OVLO Threshold Violation" error="The Upper OVLO Threshold must be greater than the upper UVLO threshold, and less than 17V." sqref="F98">
      <formula1>F96+0.01</formula1>
      <formula2>17</formula2>
    </dataValidation>
    <dataValidation type="decimal" allowBlank="1" showInputMessage="1" showErrorMessage="1" errorTitle="Lower OVLO Threshold Violation" error="The lower OVLO threshold must be greater than the upper UVLO threshold, and less than the upper OVLO threshold." sqref="F99">
      <formula1>F96+0.01</formula1>
      <formula2>F98</formula2>
    </dataValidation>
    <dataValidation type="decimal" allowBlank="1" showInputMessage="1" showErrorMessage="1" errorTitle="UVLO Threshold Violation" error="The upper UVLO threshold must be no less than 2.9V, and no greater than 17V." sqref="F96">
      <formula1>2.9</formula1>
      <formula2>17</formula2>
    </dataValidation>
    <dataValidation type="decimal" allowBlank="1" showInputMessage="1" showErrorMessage="1" errorTitle="Minimum System Voltage Violation" error="Input voltage should be between 2.9V and 17V." sqref="F28">
      <formula1>F27</formula1>
      <formula2>F29</formula2>
    </dataValidation>
    <dataValidation type="decimal" operator="greaterThanOrEqual" allowBlank="1" showInputMessage="1" showErrorMessage="1" errorTitle="Load Capacitance Violation" error="A minimum load capacitance of 10 uF is required to help prevent disruptions at turn off." sqref="F31">
      <formula1>10</formula1>
    </dataValidation>
    <dataValidation type="decimal" operator="greaterThan" allowBlank="1" showInputMessage="1" showErrorMessage="1" errorTitle="Maximum Load Current Violation" error="Maximum Load Current must be greater than 0." sqref="F30">
      <formula1>0</formula1>
    </dataValidation>
    <dataValidation type="list" allowBlank="1" showInputMessage="1" showErrorMessage="1" sqref="F95">
      <formula1>$AN$95:$AN$96</formula1>
    </dataValidation>
    <dataValidation type="list" allowBlank="1" showInputMessage="1" showErrorMessage="1" sqref="F51">
      <formula1>$AN$50:$AN$51</formula1>
    </dataValidation>
    <dataValidation type="list" allowBlank="1" showInputMessage="1" showErrorMessage="1" sqref="F50">
      <formula1>$AN$48:$AN$49</formula1>
    </dataValidation>
    <dataValidation type="whole" allowBlank="1" showInputMessage="1" showErrorMessage="1" sqref="F54">
      <formula1>1</formula1>
      <formula2>6</formula2>
    </dataValidation>
    <dataValidation type="decimal" operator="greaterThan" allowBlank="1" showInputMessage="1" showErrorMessage="1" sqref="F43 F45">
      <formula1>0</formula1>
    </dataValidation>
    <dataValidation type="custom" errorStyle="information" operator="equal" allowBlank="1" showInputMessage="1" showErrorMessage="1" errorTitle="Resistor Divider" error="When using resistor divider Rs should be set larger than Rs,eff. _x000a__x000a_Otherwise switch to &quot;No resistor divider&quot;" sqref="F41">
      <formula1>"""NA"""</formula1>
    </dataValidation>
    <dataValidation type="list" allowBlank="1" showInputMessage="1" showErrorMessage="1" sqref="F72 F80 F39">
      <formula1>$AN$39:$AN$40</formula1>
    </dataValidation>
    <dataValidation type="list" allowBlank="1" showInputMessage="1" showErrorMessage="1" sqref="F37">
      <formula1>$AN$37:$AN$38</formula1>
    </dataValidation>
    <dataValidation type="list" allowBlank="1" showInputMessage="1" showErrorMessage="1" sqref="F70">
      <formula1>$AN$71:$AN$72</formula1>
    </dataValidation>
    <dataValidation type="decimal" allowBlank="1" showInputMessage="1" showErrorMessage="1" error="Must enter value less than 10" sqref="F44">
      <formula1>0</formula1>
      <formula2>10</formula2>
    </dataValidation>
    <dataValidation type="list" allowBlank="1" showInputMessage="1" showErrorMessage="1" sqref="G22:G23">
      <formula1>yesno</formula1>
    </dataValidation>
    <dataValidation type="list" allowBlank="1" showInputMessage="1" showErrorMessage="1" sqref="F52">
      <formula1>$A$5</formula1>
    </dataValidation>
  </dataValidations>
  <hyperlinks>
    <hyperlink ref="B2" r:id="rId1"/>
    <hyperlink ref="D24:F25" r:id="rId2" display="*For additional questions not addressed in the videos, please post on E2E.ti.com"/>
    <hyperlink ref="B33:B34" r:id="rId3" display="Steps 1 &amp; 2: Operating Conditions, Current Limit, &amp; Circuit Breaker"/>
    <hyperlink ref="B43:B45" r:id="rId4" display="Steps 1 &amp; 2: Operating Conditions, Current Limit, &amp; Circuit Breaker"/>
    <hyperlink ref="B59" r:id="rId5"/>
    <hyperlink ref="B78" r:id="rId6"/>
    <hyperlink ref="B102" r:id="rId7"/>
    <hyperlink ref="D19" r:id="rId8" display="Step 5: UVLO, OVLO &amp; PGD Thresholds"/>
    <hyperlink ref="D18" r:id="rId9" display="Step 4: Startup"/>
    <hyperlink ref="D17" r:id="rId10" display="Step 3: MOSFET Selection"/>
    <hyperlink ref="D16:F16" r:id="rId11" display="Steps 1 &amp; 2: Operating Conditions, Current Limit, &amp; Circuit Breaker"/>
    <hyperlink ref="D20" r:id="rId12"/>
    <hyperlink ref="D16:I16" r:id="rId13" display="Steps 1 &amp; 2: Operating Conditions, Current Limit, &amp; Circuit Breaker (7:41)"/>
    <hyperlink ref="D17:I17" r:id="rId14" display="Step 3: MOSFET Selection (9:58)"/>
    <hyperlink ref="D18:I18" r:id="rId15" display="Step 4: Startup (10:32)"/>
    <hyperlink ref="D19:I19" r:id="rId16" display="Step 5: UVLO, OVLO &amp; PGD Thresholds (4:20)"/>
  </hyperlinks>
  <pageMargins left="0.17" right="0.17" top="0.55000000000000004" bottom="0.92" header="0.48" footer="0.2"/>
  <pageSetup scale="62" fitToHeight="2" orientation="portrait" r:id="rId17"/>
  <headerFooter alignWithMargins="0"/>
  <drawing r:id="rId18"/>
  <legacyDrawing r:id="rId19"/>
  <extLst>
    <ext xmlns:x14="http://schemas.microsoft.com/office/spreadsheetml/2009/9/main" uri="{CCE6A557-97BC-4b89-ADB6-D9C93CAAB3DF}">
      <x14:dataValidations xmlns:xm="http://schemas.microsoft.com/office/excel/2006/main" xWindow="815" yWindow="414" count="5">
        <x14:dataValidation type="decimal" allowBlank="1" showInputMessage="1" showErrorMessage="1">
          <x14:formula1>
            <xm:f>0</xm:f>
          </x14:formula1>
          <x14:formula2>
            <xm:f>Equations!F92</xm:f>
          </x14:formula2>
          <xm:sqref>F69</xm:sqref>
        </x14:dataValidation>
        <x14:dataValidation type="decimal" allowBlank="1" showInputMessage="1" showErrorMessage="1" errorTitle="Ambient Temperature Violation" error="The Ambient Temperature must be between -40C and 125C">
          <x14:formula1>
            <xm:f>'Device Parmaters'!C5</xm:f>
          </x14:formula1>
          <x14:formula2>
            <xm:f>'Device Parmaters'!E5</xm:f>
          </x14:formula2>
          <xm:sqref>F36</xm:sqref>
        </x14:dataValidation>
        <x14:dataValidation type="decimal" operator="lessThanOrEqual" allowBlank="1" showInputMessage="1" showErrorMessage="1" errorTitle="Maximum System Voltage Violation" error="The maximum system voltage must be no greater than 17V.">
          <x14:formula1>
            <xm:f>'Device Parmaters'!E5</xm:f>
          </x14:formula1>
          <xm:sqref>F29</xm:sqref>
        </x14:dataValidation>
        <x14:dataValidation type="decimal" allowBlank="1" showInputMessage="1" showErrorMessage="1" errorTitle="Ambient Temperature Violation" error="The Ambient Temperature must be between -40C and 125C">
          <x14:formula1>
            <xm:f>'Device Parmaters'!C4</xm:f>
          </x14:formula1>
          <x14:formula2>
            <xm:f>'Device Parmaters'!E4</xm:f>
          </x14:formula2>
          <xm:sqref>F32:F35</xm:sqref>
        </x14:dataValidation>
        <x14:dataValidation type="decimal" operator="greaterThanOrEqual" allowBlank="1" showInputMessage="1" showErrorMessage="1" errorTitle="Minimum System Voltage Violation" error="The minimum system voltage must be at least 2.9V.">
          <x14:formula1>
            <xm:f>'Device Parmaters'!C5</xm:f>
          </x14:formula1>
          <xm:sqref>F27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Q52"/>
  <sheetViews>
    <sheetView workbookViewId="0">
      <selection activeCell="E14" sqref="E14"/>
    </sheetView>
  </sheetViews>
  <sheetFormatPr baseColWidth="10" defaultColWidth="9.140625" defaultRowHeight="12.75" x14ac:dyDescent="0.2"/>
  <cols>
    <col min="1" max="1" width="9.42578125" customWidth="1"/>
    <col min="2" max="2" width="24.28515625" customWidth="1"/>
    <col min="12" max="12" width="13.5703125" customWidth="1"/>
  </cols>
  <sheetData>
    <row r="2" spans="1:17" x14ac:dyDescent="0.2">
      <c r="A2" s="33"/>
      <c r="C2" s="33" t="s">
        <v>76</v>
      </c>
      <c r="D2" s="33" t="s">
        <v>77</v>
      </c>
      <c r="E2" s="33" t="s">
        <v>78</v>
      </c>
      <c r="F2" s="33" t="s">
        <v>173</v>
      </c>
    </row>
    <row r="3" spans="1:17" x14ac:dyDescent="0.2">
      <c r="A3" s="27" t="s">
        <v>168</v>
      </c>
      <c r="C3" s="33"/>
      <c r="D3" s="33"/>
      <c r="E3" s="33"/>
    </row>
    <row r="4" spans="1:17" x14ac:dyDescent="0.2">
      <c r="A4" s="27"/>
      <c r="B4" s="33" t="s">
        <v>181</v>
      </c>
      <c r="C4" s="82">
        <v>-40</v>
      </c>
      <c r="D4" s="82"/>
      <c r="E4" s="82">
        <v>125</v>
      </c>
    </row>
    <row r="5" spans="1:17" x14ac:dyDescent="0.2">
      <c r="B5" s="34" t="s">
        <v>169</v>
      </c>
      <c r="C5" s="1">
        <v>2.9</v>
      </c>
      <c r="D5" s="1"/>
      <c r="E5" s="1">
        <v>17</v>
      </c>
      <c r="F5" s="33" t="s">
        <v>92</v>
      </c>
      <c r="J5" s="2"/>
    </row>
    <row r="6" spans="1:17" ht="16.5" customHeight="1" x14ac:dyDescent="0.2">
      <c r="A6" s="27" t="s">
        <v>145</v>
      </c>
      <c r="B6" s="34"/>
      <c r="C6" s="1"/>
      <c r="D6" s="1"/>
      <c r="E6" s="1"/>
      <c r="J6" s="2"/>
    </row>
    <row r="7" spans="1:17" x14ac:dyDescent="0.2">
      <c r="B7" s="34" t="s">
        <v>170</v>
      </c>
      <c r="C7" s="1">
        <v>23</v>
      </c>
      <c r="D7" s="1">
        <v>25</v>
      </c>
      <c r="E7" s="1">
        <v>27</v>
      </c>
      <c r="J7" s="2"/>
    </row>
    <row r="8" spans="1:17" x14ac:dyDescent="0.2">
      <c r="B8" s="34" t="s">
        <v>171</v>
      </c>
      <c r="C8" s="1">
        <v>42.3</v>
      </c>
      <c r="D8" s="1">
        <v>46</v>
      </c>
      <c r="E8" s="1">
        <v>49.7</v>
      </c>
      <c r="J8" s="34"/>
    </row>
    <row r="9" spans="1:17" x14ac:dyDescent="0.2">
      <c r="B9" s="34" t="s">
        <v>172</v>
      </c>
      <c r="C9" s="1"/>
      <c r="D9" s="1">
        <v>33</v>
      </c>
      <c r="E9" s="1"/>
      <c r="F9" s="33" t="s">
        <v>174</v>
      </c>
      <c r="J9" s="34"/>
    </row>
    <row r="10" spans="1:17" x14ac:dyDescent="0.2">
      <c r="C10" s="1"/>
      <c r="D10" s="1"/>
      <c r="E10" s="1"/>
    </row>
    <row r="11" spans="1:17" x14ac:dyDescent="0.2">
      <c r="A11" s="27" t="s">
        <v>183</v>
      </c>
      <c r="C11" s="1"/>
      <c r="D11" s="1"/>
      <c r="E11" s="1"/>
    </row>
    <row r="12" spans="1:17" x14ac:dyDescent="0.2">
      <c r="B12" s="33" t="s">
        <v>299</v>
      </c>
      <c r="C12" s="1"/>
      <c r="D12" s="1"/>
      <c r="E12" s="1">
        <v>2.0999999999999999E-3</v>
      </c>
      <c r="F12" s="33" t="s">
        <v>92</v>
      </c>
    </row>
    <row r="13" spans="1:17" x14ac:dyDescent="0.2">
      <c r="B13" s="33" t="s">
        <v>300</v>
      </c>
      <c r="C13" s="152"/>
      <c r="D13" s="152"/>
      <c r="E13" s="152">
        <v>4.0000000000000001E-3</v>
      </c>
      <c r="F13" s="33" t="s">
        <v>92</v>
      </c>
      <c r="G13" s="33" t="s">
        <v>301</v>
      </c>
    </row>
    <row r="14" spans="1:17" x14ac:dyDescent="0.2">
      <c r="B14" s="33" t="s">
        <v>302</v>
      </c>
      <c r="C14" s="152"/>
      <c r="D14" s="152"/>
      <c r="E14" s="157">
        <v>194000</v>
      </c>
      <c r="F14" s="33"/>
    </row>
    <row r="15" spans="1:17" x14ac:dyDescent="0.2">
      <c r="B15" s="33"/>
      <c r="C15" s="152"/>
      <c r="D15" s="152"/>
      <c r="E15" s="157"/>
      <c r="F15" s="33"/>
    </row>
    <row r="16" spans="1:17" x14ac:dyDescent="0.2">
      <c r="B16" s="33" t="s">
        <v>311</v>
      </c>
      <c r="C16" s="156" t="s">
        <v>303</v>
      </c>
      <c r="D16" s="152"/>
      <c r="E16" s="152"/>
      <c r="F16" s="33"/>
      <c r="I16" s="33" t="s">
        <v>305</v>
      </c>
      <c r="J16" s="33" t="s">
        <v>75</v>
      </c>
      <c r="K16" s="33" t="s">
        <v>306</v>
      </c>
      <c r="L16" s="33" t="s">
        <v>308</v>
      </c>
      <c r="M16" s="33" t="s">
        <v>307</v>
      </c>
      <c r="N16" s="33" t="s">
        <v>309</v>
      </c>
      <c r="P16" s="33" t="s">
        <v>307</v>
      </c>
      <c r="Q16" s="33" t="s">
        <v>306</v>
      </c>
    </row>
    <row r="17" spans="1:17" x14ac:dyDescent="0.2">
      <c r="B17" s="33"/>
      <c r="C17" s="156" t="s">
        <v>304</v>
      </c>
      <c r="D17" s="152"/>
      <c r="E17" s="152"/>
      <c r="F17" s="33"/>
      <c r="J17">
        <v>12</v>
      </c>
      <c r="K17">
        <v>25</v>
      </c>
      <c r="L17">
        <f>0.5</f>
        <v>0.5</v>
      </c>
      <c r="M17" s="159">
        <f>1/(0.001*L17)*(K17*1000/$E$14+J17*$E$12)</f>
        <v>308.1319587628866</v>
      </c>
      <c r="N17" s="158">
        <f>K17*1000/$E$14/J17+$E$12</f>
        <v>1.2838831615120273E-2</v>
      </c>
      <c r="P17">
        <v>82</v>
      </c>
      <c r="Q17">
        <f>E14*(P17*L17*0.001-J17*E12)</f>
        <v>3065.2000000000003</v>
      </c>
    </row>
    <row r="18" spans="1:17" x14ac:dyDescent="0.2">
      <c r="B18" s="33"/>
      <c r="C18" s="156" t="s">
        <v>310</v>
      </c>
      <c r="D18" s="152"/>
      <c r="E18" s="152"/>
      <c r="F18" s="33"/>
      <c r="J18">
        <v>12</v>
      </c>
      <c r="K18">
        <v>5</v>
      </c>
      <c r="L18">
        <f>0.5</f>
        <v>0.5</v>
      </c>
      <c r="M18" s="159">
        <f>1/(0.001*L18)*(K18*1000/$E$14+J18*$E$12)</f>
        <v>101.94639175257731</v>
      </c>
      <c r="N18" s="158">
        <f>K18*1000/$E$14/J18+$E$12*0.001</f>
        <v>2.1498663230240548E-3</v>
      </c>
    </row>
    <row r="19" spans="1:17" x14ac:dyDescent="0.2">
      <c r="B19" s="33" t="s">
        <v>312</v>
      </c>
      <c r="E19" s="152"/>
      <c r="F19" s="33"/>
      <c r="I19" s="33" t="s">
        <v>314</v>
      </c>
      <c r="M19" s="159"/>
      <c r="N19" s="158"/>
    </row>
    <row r="20" spans="1:17" x14ac:dyDescent="0.2">
      <c r="C20" s="1"/>
      <c r="D20" s="1"/>
      <c r="E20" s="1"/>
    </row>
    <row r="21" spans="1:17" x14ac:dyDescent="0.2">
      <c r="A21" s="27" t="s">
        <v>176</v>
      </c>
      <c r="C21" s="1"/>
      <c r="D21" s="1"/>
      <c r="E21" s="1"/>
    </row>
    <row r="22" spans="1:17" x14ac:dyDescent="0.2">
      <c r="B22" s="34" t="s">
        <v>177</v>
      </c>
      <c r="C22" s="1">
        <v>1.54</v>
      </c>
      <c r="D22" s="1">
        <v>1.7</v>
      </c>
      <c r="E22" s="1">
        <v>1.85</v>
      </c>
      <c r="F22" s="33" t="s">
        <v>92</v>
      </c>
    </row>
    <row r="23" spans="1:17" x14ac:dyDescent="0.2">
      <c r="B23" s="34" t="s">
        <v>178</v>
      </c>
      <c r="C23" s="1">
        <v>-3</v>
      </c>
      <c r="D23" s="1">
        <v>-5.5</v>
      </c>
      <c r="E23" s="1">
        <v>-8</v>
      </c>
      <c r="F23" s="33" t="s">
        <v>174</v>
      </c>
    </row>
    <row r="24" spans="1:17" x14ac:dyDescent="0.2">
      <c r="B24" s="34" t="s">
        <v>401</v>
      </c>
      <c r="C24" s="200"/>
      <c r="D24" s="200"/>
      <c r="E24" s="200"/>
      <c r="F24" s="33"/>
    </row>
    <row r="25" spans="1:17" x14ac:dyDescent="0.2">
      <c r="B25" s="34" t="s">
        <v>179</v>
      </c>
      <c r="C25" s="1">
        <v>120</v>
      </c>
      <c r="D25" s="1">
        <v>90</v>
      </c>
      <c r="E25" s="1">
        <v>60</v>
      </c>
      <c r="F25" s="33" t="s">
        <v>174</v>
      </c>
    </row>
    <row r="26" spans="1:17" x14ac:dyDescent="0.2">
      <c r="B26" s="34" t="s">
        <v>337</v>
      </c>
      <c r="C26" s="154"/>
      <c r="D26" s="154">
        <f>SQRT(0.66^2+ ((120-90)/90)^2+ 0.1^2)</f>
        <v>0.74613076006227697</v>
      </c>
      <c r="E26" s="154"/>
      <c r="F26" s="33"/>
      <c r="G26" s="33" t="s">
        <v>336</v>
      </c>
    </row>
    <row r="27" spans="1:17" x14ac:dyDescent="0.2">
      <c r="B27" s="34" t="s">
        <v>334</v>
      </c>
      <c r="C27" s="154"/>
      <c r="D27" s="154">
        <v>0.75</v>
      </c>
      <c r="E27" s="154"/>
      <c r="F27" s="33"/>
      <c r="G27" s="33" t="s">
        <v>335</v>
      </c>
    </row>
    <row r="28" spans="1:17" x14ac:dyDescent="0.2">
      <c r="B28" s="2"/>
      <c r="C28" s="1"/>
      <c r="D28" s="1"/>
      <c r="E28" s="1"/>
    </row>
    <row r="29" spans="1:17" x14ac:dyDescent="0.2">
      <c r="A29" s="27" t="s">
        <v>212</v>
      </c>
      <c r="B29" s="2"/>
      <c r="C29" s="1"/>
      <c r="D29" s="1"/>
      <c r="E29" s="1"/>
    </row>
    <row r="30" spans="1:17" x14ac:dyDescent="0.2">
      <c r="B30" s="34" t="s">
        <v>216</v>
      </c>
      <c r="C30" s="1">
        <v>16</v>
      </c>
      <c r="D30" s="1">
        <v>22</v>
      </c>
      <c r="E30" s="1">
        <v>28</v>
      </c>
    </row>
    <row r="31" spans="1:17" x14ac:dyDescent="0.2">
      <c r="B31" s="2"/>
      <c r="C31" s="1"/>
      <c r="D31" s="1"/>
      <c r="E31" s="1"/>
    </row>
    <row r="32" spans="1:17" x14ac:dyDescent="0.2">
      <c r="A32" s="27" t="s">
        <v>175</v>
      </c>
      <c r="B32" s="2"/>
      <c r="C32" s="1"/>
      <c r="D32" s="1"/>
      <c r="E32" s="1"/>
    </row>
    <row r="33" spans="1:5" x14ac:dyDescent="0.2">
      <c r="B33" s="34" t="s">
        <v>252</v>
      </c>
      <c r="C33" s="1">
        <v>35</v>
      </c>
      <c r="D33" s="1">
        <v>45</v>
      </c>
      <c r="E33" s="1">
        <v>55</v>
      </c>
    </row>
    <row r="34" spans="1:5" x14ac:dyDescent="0.2">
      <c r="B34" s="34" t="s">
        <v>253</v>
      </c>
      <c r="C34" s="1">
        <v>1.6</v>
      </c>
      <c r="D34" s="1">
        <v>1.8</v>
      </c>
      <c r="E34" s="1">
        <v>2</v>
      </c>
    </row>
    <row r="35" spans="1:5" x14ac:dyDescent="0.2">
      <c r="B35" s="34" t="s">
        <v>254</v>
      </c>
      <c r="C35" s="1">
        <v>70</v>
      </c>
      <c r="D35" s="1">
        <v>90</v>
      </c>
      <c r="E35" s="1">
        <v>110</v>
      </c>
    </row>
    <row r="36" spans="1:5" x14ac:dyDescent="0.2">
      <c r="B36" s="34" t="s">
        <v>255</v>
      </c>
      <c r="C36" s="1">
        <v>3.1</v>
      </c>
      <c r="D36" s="1">
        <v>3.6</v>
      </c>
      <c r="E36" s="1">
        <v>4</v>
      </c>
    </row>
    <row r="37" spans="1:5" x14ac:dyDescent="0.2">
      <c r="B37" s="2"/>
      <c r="C37" s="1"/>
      <c r="D37" s="1"/>
      <c r="E37" s="1"/>
    </row>
    <row r="38" spans="1:5" x14ac:dyDescent="0.2">
      <c r="A38" s="27" t="s">
        <v>265</v>
      </c>
      <c r="B38" s="2"/>
    </row>
    <row r="39" spans="1:5" x14ac:dyDescent="0.2">
      <c r="B39" s="34" t="s">
        <v>177</v>
      </c>
      <c r="C39">
        <v>1.54</v>
      </c>
      <c r="D39">
        <v>1.7</v>
      </c>
      <c r="E39">
        <v>1.85</v>
      </c>
    </row>
    <row r="40" spans="1:5" x14ac:dyDescent="0.2">
      <c r="B40" s="34" t="s">
        <v>266</v>
      </c>
      <c r="C40">
        <v>0.85</v>
      </c>
      <c r="D40">
        <v>1</v>
      </c>
      <c r="E40">
        <v>1.07</v>
      </c>
    </row>
    <row r="41" spans="1:5" x14ac:dyDescent="0.2">
      <c r="B41" s="34" t="s">
        <v>267</v>
      </c>
      <c r="D41">
        <v>0.3</v>
      </c>
    </row>
    <row r="42" spans="1:5" x14ac:dyDescent="0.2">
      <c r="B42" s="34" t="s">
        <v>268</v>
      </c>
      <c r="D42">
        <v>0.3</v>
      </c>
    </row>
    <row r="43" spans="1:5" x14ac:dyDescent="0.2">
      <c r="B43" s="34" t="s">
        <v>269</v>
      </c>
      <c r="C43">
        <v>3</v>
      </c>
      <c r="D43">
        <v>5.5</v>
      </c>
      <c r="E43">
        <v>8</v>
      </c>
    </row>
    <row r="44" spans="1:5" x14ac:dyDescent="0.2">
      <c r="B44" s="34" t="s">
        <v>270</v>
      </c>
      <c r="C44">
        <v>1.4</v>
      </c>
      <c r="D44">
        <v>1.9</v>
      </c>
      <c r="E44">
        <v>2.4</v>
      </c>
    </row>
    <row r="45" spans="1:5" x14ac:dyDescent="0.2">
      <c r="B45" s="34" t="s">
        <v>179</v>
      </c>
      <c r="C45">
        <v>60</v>
      </c>
      <c r="D45">
        <v>90</v>
      </c>
      <c r="E45">
        <v>120</v>
      </c>
    </row>
    <row r="46" spans="1:5" x14ac:dyDescent="0.2">
      <c r="B46" s="34" t="s">
        <v>271</v>
      </c>
      <c r="D46">
        <v>2.8</v>
      </c>
    </row>
    <row r="48" spans="1:5" x14ac:dyDescent="0.2">
      <c r="A48" s="27" t="s">
        <v>275</v>
      </c>
    </row>
    <row r="49" spans="1:8" x14ac:dyDescent="0.2">
      <c r="B49" s="34" t="s">
        <v>276</v>
      </c>
      <c r="D49">
        <v>25</v>
      </c>
      <c r="E49">
        <v>60</v>
      </c>
      <c r="F49" s="33" t="s">
        <v>184</v>
      </c>
      <c r="G49">
        <v>2</v>
      </c>
      <c r="H49" s="33" t="s">
        <v>277</v>
      </c>
    </row>
    <row r="50" spans="1:8" x14ac:dyDescent="0.2">
      <c r="A50" s="27" t="s">
        <v>278</v>
      </c>
    </row>
    <row r="51" spans="1:8" x14ac:dyDescent="0.2">
      <c r="B51" s="33" t="s">
        <v>279</v>
      </c>
      <c r="C51">
        <v>1.141</v>
      </c>
      <c r="D51">
        <v>1.167</v>
      </c>
      <c r="E51">
        <v>1.19</v>
      </c>
      <c r="F51" s="33" t="s">
        <v>92</v>
      </c>
    </row>
    <row r="52" spans="1:8" x14ac:dyDescent="0.2">
      <c r="B52" s="33" t="s">
        <v>280</v>
      </c>
      <c r="C52">
        <v>18</v>
      </c>
      <c r="D52">
        <v>24</v>
      </c>
      <c r="E52">
        <v>31</v>
      </c>
      <c r="F52" s="33" t="s">
        <v>174</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3:Y219"/>
  <sheetViews>
    <sheetView topLeftCell="A25" workbookViewId="0">
      <selection activeCell="E14" sqref="E14"/>
    </sheetView>
  </sheetViews>
  <sheetFormatPr baseColWidth="10" defaultColWidth="9.140625" defaultRowHeight="12.75" x14ac:dyDescent="0.2"/>
  <cols>
    <col min="6" max="6" width="12.42578125" bestFit="1" customWidth="1"/>
    <col min="8" max="8" width="14" customWidth="1"/>
    <col min="9" max="9" width="12.7109375" customWidth="1"/>
    <col min="10" max="10" width="11.7109375" customWidth="1"/>
  </cols>
  <sheetData>
    <row r="13" spans="1:6" x14ac:dyDescent="0.2">
      <c r="A13" s="27" t="s">
        <v>145</v>
      </c>
    </row>
    <row r="14" spans="1:6" x14ac:dyDescent="0.2">
      <c r="E14" s="2"/>
    </row>
    <row r="15" spans="1:6" x14ac:dyDescent="0.2">
      <c r="D15" t="s">
        <v>223</v>
      </c>
      <c r="E15">
        <f>IF('Design Calculator'!$F$37="25 mV",'Device Parmaters'!C7,'Device Parmaters'!C8)</f>
        <v>23</v>
      </c>
      <c r="F15" s="93" t="s">
        <v>184</v>
      </c>
    </row>
    <row r="16" spans="1:6" x14ac:dyDescent="0.2">
      <c r="D16" t="s">
        <v>222</v>
      </c>
      <c r="E16">
        <f>IF('Design Calculator'!$F$37="25 mV",'Device Parmaters'!D7,'Device Parmaters'!D8)</f>
        <v>25</v>
      </c>
      <c r="F16" s="93" t="s">
        <v>184</v>
      </c>
    </row>
    <row r="17" spans="1:8" x14ac:dyDescent="0.2">
      <c r="D17" t="s">
        <v>221</v>
      </c>
      <c r="E17">
        <f>IF('Design Calculator'!$F$37="25 mV",'Device Parmaters'!E7,'Device Parmaters'!E8)</f>
        <v>27</v>
      </c>
      <c r="F17" s="93" t="s">
        <v>184</v>
      </c>
    </row>
    <row r="18" spans="1:8" x14ac:dyDescent="0.2">
      <c r="E18" s="2"/>
    </row>
    <row r="19" spans="1:8" x14ac:dyDescent="0.2">
      <c r="A19" s="27"/>
      <c r="E19" s="2"/>
    </row>
    <row r="20" spans="1:8" x14ac:dyDescent="0.2">
      <c r="E20" s="2" t="s">
        <v>0</v>
      </c>
      <c r="F20">
        <f>CLMIN_Threshold/('Design Calculator'!F30*1.01)</f>
        <v>3.5034272658035031</v>
      </c>
    </row>
    <row r="21" spans="1:8" x14ac:dyDescent="0.2">
      <c r="E21" s="34" t="s">
        <v>225</v>
      </c>
      <c r="F21" s="33" t="str">
        <f>IF(Rs&gt;RsMAX,10,"NA")</f>
        <v>NA</v>
      </c>
    </row>
    <row r="22" spans="1:8" x14ac:dyDescent="0.2">
      <c r="E22" s="34" t="s">
        <v>226</v>
      </c>
      <c r="F22" t="str">
        <f>IF(Rs&gt;RsMAX,(((IOUTMAX*Rs)/CLMIN_Threshold)-1)*F21,"NA")</f>
        <v>NA</v>
      </c>
    </row>
    <row r="23" spans="1:8" x14ac:dyDescent="0.2">
      <c r="E23" s="34" t="s">
        <v>227</v>
      </c>
      <c r="F23">
        <f>IF(RsMAX&gt;Rs,Rs,IF('Design Calculator'!F39="Yes",IF(Rs&gt;RsMAX,Rs/(1+RDIV2/RDIV1),Rs),Rs))</f>
        <v>1.5</v>
      </c>
      <c r="H23" s="128"/>
    </row>
    <row r="24" spans="1:8" x14ac:dyDescent="0.2">
      <c r="E24" s="2" t="s">
        <v>1</v>
      </c>
      <c r="F24" s="4">
        <f>CLMIN_Threshold/RsEFF</f>
        <v>15.333333333333334</v>
      </c>
      <c r="G24" s="4"/>
    </row>
    <row r="25" spans="1:8" x14ac:dyDescent="0.2">
      <c r="E25" s="2" t="s">
        <v>2</v>
      </c>
      <c r="F25">
        <f>CLNOM_Threshold/RsEFF</f>
        <v>16.666666666666668</v>
      </c>
    </row>
    <row r="26" spans="1:8" x14ac:dyDescent="0.2">
      <c r="E26" s="2" t="s">
        <v>3</v>
      </c>
      <c r="F26">
        <f>CLMAX_Threshold/RsEFF</f>
        <v>18</v>
      </c>
    </row>
    <row r="27" spans="1:8" x14ac:dyDescent="0.2">
      <c r="E27" s="2" t="s">
        <v>4</v>
      </c>
      <c r="F27">
        <f>F26^2*'Design Calculator'!F40</f>
        <v>486</v>
      </c>
    </row>
    <row r="30" spans="1:8" x14ac:dyDescent="0.2">
      <c r="E30" s="2"/>
    </row>
    <row r="31" spans="1:8" x14ac:dyDescent="0.2">
      <c r="A31" s="27" t="s">
        <v>165</v>
      </c>
    </row>
    <row r="32" spans="1:8" x14ac:dyDescent="0.2">
      <c r="A32" s="33"/>
      <c r="F32" s="33" t="s">
        <v>166</v>
      </c>
      <c r="H32" s="33" t="s">
        <v>167</v>
      </c>
    </row>
    <row r="33" spans="1:8" x14ac:dyDescent="0.2">
      <c r="A33" s="33"/>
      <c r="E33" s="68" t="s">
        <v>141</v>
      </c>
      <c r="F33" s="69">
        <f>VINMAX*'Design Calculator'!F57</f>
        <v>3900</v>
      </c>
      <c r="G33" s="33" t="s">
        <v>93</v>
      </c>
      <c r="H33">
        <f>F33*(TJMAX-TJ)/(TJMAX-25)</f>
        <v>2598.1799999999998</v>
      </c>
    </row>
    <row r="34" spans="1:8" x14ac:dyDescent="0.2">
      <c r="A34" s="33"/>
      <c r="E34" s="68" t="s">
        <v>142</v>
      </c>
      <c r="F34" s="69">
        <f>VINMAX*'Design Calculator'!F58</f>
        <v>1040</v>
      </c>
      <c r="G34" s="33" t="s">
        <v>93</v>
      </c>
      <c r="H34">
        <f>F34*(TJMAX-TJ)/(TJMAX-25)</f>
        <v>692.84800000000007</v>
      </c>
    </row>
    <row r="35" spans="1:8" x14ac:dyDescent="0.2">
      <c r="A35" s="33"/>
      <c r="E35" s="68" t="s">
        <v>143</v>
      </c>
      <c r="F35" s="69">
        <f>VINMAX*'Design Calculator'!F59</f>
        <v>390</v>
      </c>
      <c r="G35" s="33" t="s">
        <v>93</v>
      </c>
      <c r="H35">
        <f>F35*(TJMAX-TJ)/(TJMAX-25)</f>
        <v>259.81800000000004</v>
      </c>
    </row>
    <row r="36" spans="1:8" x14ac:dyDescent="0.2">
      <c r="A36" s="33"/>
      <c r="E36" s="68" t="s">
        <v>144</v>
      </c>
      <c r="F36" s="69">
        <f>VINMAX*'Design Calculator'!F60</f>
        <v>260</v>
      </c>
      <c r="G36" s="77" t="s">
        <v>93</v>
      </c>
      <c r="H36">
        <f>F36*(TJMAX-TJ)/(TJMAX-25)</f>
        <v>173.21200000000002</v>
      </c>
    </row>
    <row r="37" spans="1:8" x14ac:dyDescent="0.2">
      <c r="A37" s="33"/>
      <c r="E37" s="79"/>
      <c r="F37" s="78"/>
      <c r="G37" s="77"/>
    </row>
    <row r="38" spans="1:8" x14ac:dyDescent="0.2">
      <c r="A38" s="33"/>
      <c r="E38" s="79" t="s">
        <v>185</v>
      </c>
      <c r="F38" s="78">
        <f>VINMAX*'Device Parmaters'!E13/RsEFF/0.001</f>
        <v>34.666666666666671</v>
      </c>
      <c r="G38" s="77" t="s">
        <v>93</v>
      </c>
    </row>
    <row r="39" spans="1:8" x14ac:dyDescent="0.2">
      <c r="A39" s="33"/>
      <c r="E39" s="79" t="s">
        <v>317</v>
      </c>
      <c r="F39" s="78">
        <f>'Design Calculator'!F65</f>
        <v>70</v>
      </c>
      <c r="G39" s="77" t="s">
        <v>93</v>
      </c>
    </row>
    <row r="40" spans="1:8" x14ac:dyDescent="0.2">
      <c r="A40" s="33"/>
      <c r="E40" s="79" t="s">
        <v>306</v>
      </c>
      <c r="F40">
        <f>'Device Parmaters'!E14*(F39*RsEFF*0.001-VINMAX*'Device Parmaters'!$E$12)/1000</f>
        <v>15.073799999999997</v>
      </c>
      <c r="G40" s="77" t="s">
        <v>318</v>
      </c>
    </row>
    <row r="41" spans="1:8" x14ac:dyDescent="0.2">
      <c r="A41" s="33"/>
      <c r="E41" s="79" t="s">
        <v>320</v>
      </c>
      <c r="F41" s="78">
        <f>RPWR</f>
        <v>49.9</v>
      </c>
      <c r="G41" s="77" t="s">
        <v>318</v>
      </c>
    </row>
    <row r="42" spans="1:8" x14ac:dyDescent="0.2">
      <c r="A42" s="33"/>
      <c r="E42" s="79" t="s">
        <v>321</v>
      </c>
      <c r="F42" s="300">
        <f>1/RsEFF*1000*(Equations!F41*1000/'Device Parmaters'!E14+VINMAX*'Device Parmaters'!E12)</f>
        <v>189.67766323024051</v>
      </c>
      <c r="G42" s="77" t="s">
        <v>93</v>
      </c>
    </row>
    <row r="43" spans="1:8" x14ac:dyDescent="0.2">
      <c r="A43" s="33"/>
      <c r="E43" s="79"/>
      <c r="G43" s="77"/>
    </row>
    <row r="44" spans="1:8" x14ac:dyDescent="0.2">
      <c r="A44" s="33"/>
      <c r="E44" s="79"/>
      <c r="G44" s="77"/>
    </row>
    <row r="45" spans="1:8" x14ac:dyDescent="0.2">
      <c r="A45" s="33"/>
      <c r="E45" s="79"/>
      <c r="G45" s="77"/>
    </row>
    <row r="46" spans="1:8" x14ac:dyDescent="0.2">
      <c r="E46" s="2" t="s">
        <v>5</v>
      </c>
      <c r="F46" s="4">
        <f>F47*(1-0.24)</f>
        <v>144.15502405498279</v>
      </c>
      <c r="G46" t="s">
        <v>17</v>
      </c>
    </row>
    <row r="47" spans="1:8" x14ac:dyDescent="0.2">
      <c r="E47" s="2" t="s">
        <v>6</v>
      </c>
      <c r="F47" s="4">
        <f>F42</f>
        <v>189.67766323024051</v>
      </c>
    </row>
    <row r="48" spans="1:8" x14ac:dyDescent="0.2">
      <c r="E48" s="2" t="s">
        <v>7</v>
      </c>
      <c r="F48" s="4">
        <f>F47*(1+0.24)</f>
        <v>235.20030240549823</v>
      </c>
    </row>
    <row r="49" spans="1:12" x14ac:dyDescent="0.2">
      <c r="E49" s="2"/>
      <c r="F49" s="1"/>
      <c r="H49" s="2"/>
      <c r="I49" s="1"/>
      <c r="K49" s="2"/>
      <c r="L49" s="1"/>
    </row>
    <row r="50" spans="1:12" x14ac:dyDescent="0.2">
      <c r="E50" s="2"/>
      <c r="F50" s="1"/>
      <c r="H50" s="2"/>
      <c r="I50" s="1"/>
      <c r="K50" s="2"/>
      <c r="L50" s="1"/>
    </row>
    <row r="51" spans="1:12" x14ac:dyDescent="0.2">
      <c r="A51" s="27" t="s">
        <v>164</v>
      </c>
    </row>
    <row r="52" spans="1:12" x14ac:dyDescent="0.2">
      <c r="A52" s="27"/>
      <c r="D52" s="374" t="s">
        <v>360</v>
      </c>
      <c r="E52" s="375"/>
      <c r="F52" s="375"/>
      <c r="G52" s="375"/>
    </row>
    <row r="53" spans="1:12" x14ac:dyDescent="0.2">
      <c r="A53" s="27"/>
      <c r="E53" s="34" t="s">
        <v>340</v>
      </c>
      <c r="F53" s="4">
        <f>Start_up!M2</f>
        <v>8.2501902601132535E-2</v>
      </c>
      <c r="G53" s="33" t="s">
        <v>8</v>
      </c>
    </row>
    <row r="54" spans="1:12" x14ac:dyDescent="0.2">
      <c r="A54" s="27"/>
      <c r="E54" s="34" t="s">
        <v>341</v>
      </c>
      <c r="F54" s="4">
        <f>'Device Parmaters'!D27</f>
        <v>0.75</v>
      </c>
    </row>
    <row r="55" spans="1:12" x14ac:dyDescent="0.2">
      <c r="A55" s="27"/>
      <c r="E55" s="34" t="s">
        <v>342</v>
      </c>
      <c r="F55">
        <f>F53*(1+F54)</f>
        <v>0.14437832955198193</v>
      </c>
      <c r="G55" s="33" t="s">
        <v>8</v>
      </c>
    </row>
    <row r="56" spans="1:12" x14ac:dyDescent="0.2">
      <c r="A56" s="27"/>
      <c r="E56" s="34" t="s">
        <v>343</v>
      </c>
      <c r="F56">
        <f>'Device Parmaters'!D25/'Device Parmaters'!D22*F55</f>
        <v>7.6435586233402208</v>
      </c>
      <c r="G56" s="33" t="s">
        <v>131</v>
      </c>
    </row>
    <row r="57" spans="1:12" x14ac:dyDescent="0.2">
      <c r="A57" s="27"/>
      <c r="E57" s="34" t="s">
        <v>344</v>
      </c>
      <c r="F57" s="4">
        <f>'Design Calculator'!F77</f>
        <v>100</v>
      </c>
      <c r="G57" s="33" t="s">
        <v>131</v>
      </c>
    </row>
    <row r="58" spans="1:12" x14ac:dyDescent="0.2">
      <c r="A58" s="27"/>
      <c r="E58" s="34" t="s">
        <v>347</v>
      </c>
      <c r="F58">
        <f>'Device Parmaters'!D22/'Device Parmaters'!D25*F57</f>
        <v>1.8888888888888888</v>
      </c>
      <c r="G58" s="33" t="s">
        <v>8</v>
      </c>
    </row>
    <row r="59" spans="1:12" x14ac:dyDescent="0.2">
      <c r="A59" s="27"/>
      <c r="E59" s="34" t="s">
        <v>355</v>
      </c>
      <c r="F59">
        <f>SOA!C26/F47</f>
        <v>2.7859061487957568</v>
      </c>
      <c r="G59" s="33"/>
    </row>
    <row r="60" spans="1:12" x14ac:dyDescent="0.2">
      <c r="A60" s="27"/>
      <c r="E60" s="34"/>
      <c r="G60" s="33"/>
    </row>
    <row r="61" spans="1:12" x14ac:dyDescent="0.2">
      <c r="A61" s="27"/>
      <c r="D61" s="374" t="s">
        <v>365</v>
      </c>
      <c r="E61" s="375"/>
      <c r="F61" s="375"/>
      <c r="G61" s="375"/>
    </row>
    <row r="62" spans="1:12" x14ac:dyDescent="0.2">
      <c r="A62" s="27"/>
      <c r="C62" s="33"/>
      <c r="D62" s="173"/>
      <c r="E62" s="34" t="s">
        <v>361</v>
      </c>
      <c r="F62" s="165">
        <f>'Design Calculator'!F83</f>
        <v>4</v>
      </c>
      <c r="G62" s="153" t="s">
        <v>362</v>
      </c>
    </row>
    <row r="63" spans="1:12" x14ac:dyDescent="0.2">
      <c r="A63" s="27"/>
      <c r="C63" s="33"/>
      <c r="D63" s="173"/>
      <c r="E63" s="34" t="s">
        <v>386</v>
      </c>
      <c r="F63" s="166">
        <f>'Device Parmaters'!D30/ss_rate</f>
        <v>5.5</v>
      </c>
      <c r="G63" s="33" t="s">
        <v>131</v>
      </c>
    </row>
    <row r="64" spans="1:12" x14ac:dyDescent="0.2">
      <c r="A64" s="27"/>
      <c r="C64" s="33"/>
      <c r="D64" s="173"/>
      <c r="E64" s="34" t="s">
        <v>387</v>
      </c>
      <c r="F64" s="165">
        <f>'Design Calculator'!F85</f>
        <v>10</v>
      </c>
      <c r="G64" s="33" t="s">
        <v>131</v>
      </c>
    </row>
    <row r="65" spans="1:8" x14ac:dyDescent="0.2">
      <c r="A65" s="27"/>
      <c r="C65" s="33"/>
      <c r="D65" s="173"/>
      <c r="E65" s="34" t="s">
        <v>388</v>
      </c>
      <c r="F65" s="166">
        <f>ss_rate*F63/F64</f>
        <v>2.2000000000000002</v>
      </c>
      <c r="G65" s="33" t="s">
        <v>362</v>
      </c>
    </row>
    <row r="66" spans="1:8" x14ac:dyDescent="0.2">
      <c r="A66" s="27"/>
      <c r="C66" s="33"/>
      <c r="D66" s="173"/>
      <c r="E66" s="34" t="s">
        <v>363</v>
      </c>
      <c r="F66" s="165">
        <f>COUTMAX*F65/1000</f>
        <v>0.22000000000000003</v>
      </c>
      <c r="G66" s="153" t="s">
        <v>28</v>
      </c>
    </row>
    <row r="67" spans="1:8" x14ac:dyDescent="0.2">
      <c r="A67" s="27"/>
      <c r="C67" s="33"/>
      <c r="D67" s="173"/>
      <c r="E67" s="34" t="s">
        <v>379</v>
      </c>
      <c r="F67" s="165">
        <f>VINMAX/F65</f>
        <v>5.9090909090909083</v>
      </c>
      <c r="G67" s="153" t="s">
        <v>8</v>
      </c>
    </row>
    <row r="68" spans="1:8" x14ac:dyDescent="0.2">
      <c r="A68" s="27"/>
      <c r="C68" s="33"/>
      <c r="D68" s="173"/>
      <c r="E68" s="34" t="s">
        <v>380</v>
      </c>
      <c r="F68" s="165">
        <f>Start_up!N5</f>
        <v>8.4003906250000003E-3</v>
      </c>
      <c r="G68" s="165" t="s">
        <v>369</v>
      </c>
    </row>
    <row r="69" spans="1:8" x14ac:dyDescent="0.2">
      <c r="A69" s="27"/>
      <c r="C69" s="33"/>
      <c r="D69" s="173"/>
      <c r="E69" s="34" t="s">
        <v>381</v>
      </c>
      <c r="F69" s="165">
        <f>Start_up!Q4</f>
        <v>189.67766323024051</v>
      </c>
      <c r="G69" s="165" t="s">
        <v>93</v>
      </c>
    </row>
    <row r="70" spans="1:8" x14ac:dyDescent="0.2">
      <c r="A70" s="27"/>
      <c r="D70" s="172"/>
      <c r="E70" s="34" t="s">
        <v>382</v>
      </c>
      <c r="F70" s="165">
        <f>F68/F69*1000</f>
        <v>4.4287716760845863E-2</v>
      </c>
      <c r="G70" s="165" t="s">
        <v>8</v>
      </c>
    </row>
    <row r="71" spans="1:8" x14ac:dyDescent="0.2">
      <c r="A71" s="27"/>
      <c r="E71" s="34" t="s">
        <v>383</v>
      </c>
      <c r="F71" s="33">
        <f>SOA!H28</f>
        <v>4146.805694949715</v>
      </c>
      <c r="G71" s="165" t="s">
        <v>93</v>
      </c>
    </row>
    <row r="72" spans="1:8" x14ac:dyDescent="0.2">
      <c r="A72" s="27"/>
      <c r="E72" s="34" t="s">
        <v>384</v>
      </c>
      <c r="F72" s="33">
        <f>F71/F69</f>
        <v>21.862382867486662</v>
      </c>
      <c r="G72" s="33"/>
    </row>
    <row r="73" spans="1:8" x14ac:dyDescent="0.2">
      <c r="A73" s="27"/>
      <c r="E73" s="34"/>
      <c r="F73" s="33"/>
      <c r="G73" s="33"/>
    </row>
    <row r="74" spans="1:8" x14ac:dyDescent="0.2">
      <c r="A74" s="27"/>
      <c r="E74" s="34"/>
      <c r="F74" s="33">
        <v>1</v>
      </c>
      <c r="G74" s="165" t="s">
        <v>8</v>
      </c>
    </row>
    <row r="75" spans="1:8" x14ac:dyDescent="0.2">
      <c r="A75" s="27"/>
      <c r="D75" s="376" t="s">
        <v>393</v>
      </c>
      <c r="E75" s="376"/>
      <c r="F75" s="376"/>
      <c r="G75" s="376"/>
      <c r="H75" s="376"/>
    </row>
    <row r="76" spans="1:8" x14ac:dyDescent="0.2">
      <c r="A76" s="27"/>
      <c r="E76" s="34" t="s">
        <v>389</v>
      </c>
      <c r="F76" s="199">
        <f>'Design Calculator'!F88</f>
        <v>5</v>
      </c>
      <c r="G76" s="33"/>
    </row>
    <row r="77" spans="1:8" x14ac:dyDescent="0.2">
      <c r="A77" s="27"/>
      <c r="E77" s="34" t="s">
        <v>390</v>
      </c>
      <c r="F77" s="33">
        <f>'Device Parmaters'!D25/'Device Parmaters'!D22*F76</f>
        <v>264.70588235294122</v>
      </c>
      <c r="G77" s="33" t="s">
        <v>131</v>
      </c>
    </row>
    <row r="78" spans="1:8" x14ac:dyDescent="0.2">
      <c r="A78" s="27"/>
      <c r="E78" s="198" t="s">
        <v>391</v>
      </c>
      <c r="F78" s="199">
        <f>'Design Calculator'!F90</f>
        <v>100</v>
      </c>
      <c r="G78" s="33" t="s">
        <v>131</v>
      </c>
    </row>
    <row r="79" spans="1:8" x14ac:dyDescent="0.2">
      <c r="A79" s="27"/>
      <c r="E79" s="175" t="s">
        <v>395</v>
      </c>
      <c r="F79" s="33">
        <f>'Device Parmaters'!D22/'Device Parmaters'!D25*F78</f>
        <v>1.8888888888888888</v>
      </c>
      <c r="G79" s="33" t="s">
        <v>8</v>
      </c>
    </row>
    <row r="80" spans="1:8" x14ac:dyDescent="0.2">
      <c r="A80" s="27"/>
      <c r="E80" s="198" t="s">
        <v>394</v>
      </c>
      <c r="F80" s="33">
        <f>SOA!C26</f>
        <v>528.42416828233786</v>
      </c>
      <c r="G80" s="33" t="s">
        <v>93</v>
      </c>
    </row>
    <row r="81" spans="1:13" x14ac:dyDescent="0.2">
      <c r="A81" s="27"/>
      <c r="E81" s="175" t="s">
        <v>384</v>
      </c>
      <c r="F81" s="33">
        <f>F80/F42</f>
        <v>2.7859061487957568</v>
      </c>
      <c r="G81" s="33"/>
    </row>
    <row r="82" spans="1:13" x14ac:dyDescent="0.2">
      <c r="A82" s="27"/>
      <c r="E82" s="34"/>
      <c r="F82" s="33"/>
      <c r="G82" s="33"/>
    </row>
    <row r="83" spans="1:13" x14ac:dyDescent="0.2">
      <c r="A83" s="27"/>
      <c r="E83" s="34"/>
      <c r="F83" s="33"/>
      <c r="G83" s="33"/>
    </row>
    <row r="84" spans="1:13" x14ac:dyDescent="0.2">
      <c r="A84" s="27"/>
      <c r="E84" s="34"/>
      <c r="F84" s="33"/>
      <c r="G84" s="33"/>
    </row>
    <row r="85" spans="1:13" x14ac:dyDescent="0.2">
      <c r="A85" s="27"/>
      <c r="E85" s="34"/>
      <c r="F85" s="33"/>
      <c r="G85" s="33"/>
    </row>
    <row r="86" spans="1:13" x14ac:dyDescent="0.2">
      <c r="A86" s="27"/>
      <c r="E86" s="34"/>
      <c r="F86" s="33"/>
      <c r="G86" s="33"/>
    </row>
    <row r="87" spans="1:13" x14ac:dyDescent="0.2">
      <c r="A87" s="27"/>
      <c r="E87" s="34"/>
      <c r="F87" s="33"/>
      <c r="G87" s="33"/>
    </row>
    <row r="88" spans="1:13" x14ac:dyDescent="0.2">
      <c r="A88" s="27"/>
      <c r="E88" s="34"/>
      <c r="F88" s="33"/>
      <c r="G88" s="33"/>
    </row>
    <row r="89" spans="1:13" x14ac:dyDescent="0.2">
      <c r="A89" s="27"/>
      <c r="E89" s="34"/>
      <c r="F89" s="33"/>
      <c r="G89" s="33"/>
    </row>
    <row r="90" spans="1:13" x14ac:dyDescent="0.2">
      <c r="A90" s="27"/>
    </row>
    <row r="91" spans="1:13" x14ac:dyDescent="0.2">
      <c r="A91" s="33"/>
      <c r="E91" s="34"/>
    </row>
    <row r="92" spans="1:13" x14ac:dyDescent="0.2">
      <c r="A92" s="33"/>
      <c r="E92" s="34"/>
    </row>
    <row r="93" spans="1:13" x14ac:dyDescent="0.2">
      <c r="D93" s="33"/>
      <c r="E93" s="34"/>
    </row>
    <row r="94" spans="1:13" x14ac:dyDescent="0.2">
      <c r="D94" s="33"/>
      <c r="E94" s="34"/>
    </row>
    <row r="95" spans="1:13" x14ac:dyDescent="0.2">
      <c r="D95" s="33"/>
      <c r="E95" s="34"/>
    </row>
    <row r="96" spans="1:13" x14ac:dyDescent="0.2">
      <c r="E96" s="34"/>
      <c r="J96" s="6"/>
      <c r="M96" s="6"/>
    </row>
    <row r="97" spans="5:13" x14ac:dyDescent="0.2">
      <c r="E97" s="34"/>
      <c r="J97" s="6"/>
      <c r="M97" s="6"/>
    </row>
    <row r="98" spans="5:13" x14ac:dyDescent="0.2">
      <c r="E98" s="2"/>
      <c r="G98" t="s">
        <v>18</v>
      </c>
      <c r="J98" s="7"/>
      <c r="M98" s="7"/>
    </row>
    <row r="99" spans="5:13" x14ac:dyDescent="0.2">
      <c r="E99" s="34"/>
      <c r="J99" s="7"/>
      <c r="M99" s="7"/>
    </row>
    <row r="100" spans="5:13" x14ac:dyDescent="0.2">
      <c r="E100" s="2"/>
    </row>
    <row r="101" spans="5:13" x14ac:dyDescent="0.2">
      <c r="E101" s="2"/>
      <c r="I101" t="s">
        <v>30</v>
      </c>
      <c r="L101" t="s">
        <v>53</v>
      </c>
    </row>
    <row r="102" spans="5:13" x14ac:dyDescent="0.2">
      <c r="E102" s="34"/>
      <c r="G102" s="33" t="s">
        <v>28</v>
      </c>
    </row>
    <row r="103" spans="5:13" x14ac:dyDescent="0.2">
      <c r="E103" s="34"/>
      <c r="G103" s="33" t="s">
        <v>215</v>
      </c>
    </row>
    <row r="104" spans="5:13" x14ac:dyDescent="0.2">
      <c r="E104" s="34"/>
      <c r="G104" s="33" t="s">
        <v>131</v>
      </c>
    </row>
    <row r="105" spans="5:13" x14ac:dyDescent="0.2">
      <c r="E105" s="34"/>
      <c r="G105" s="33"/>
    </row>
    <row r="106" spans="5:13" x14ac:dyDescent="0.2">
      <c r="E106" s="34"/>
      <c r="G106" s="33"/>
    </row>
    <row r="107" spans="5:13" x14ac:dyDescent="0.2">
      <c r="E107" s="34" t="s">
        <v>262</v>
      </c>
      <c r="F107" s="4">
        <f>IF('Design Calculator'!F72="YES", Equations!F78, Equations!F57)*'Device Parmaters'!C39*1000/'Device Parmaters'!E43*0.001</f>
        <v>19.25</v>
      </c>
      <c r="G107" s="33" t="s">
        <v>8</v>
      </c>
    </row>
    <row r="108" spans="5:13" x14ac:dyDescent="0.2">
      <c r="E108" s="34" t="s">
        <v>11</v>
      </c>
      <c r="F108" s="4">
        <f>IF('Design Calculator'!F72="YES", Equations!F78, Equations!F57)*0.001*'Device Parmaters'!D39*1000/'Device Parmaters'!D43</f>
        <v>30.90909090909091</v>
      </c>
      <c r="G108" s="33" t="s">
        <v>8</v>
      </c>
    </row>
    <row r="109" spans="5:13" x14ac:dyDescent="0.2">
      <c r="E109" s="34" t="s">
        <v>263</v>
      </c>
      <c r="F109" s="4">
        <f>IF('Design Calculator'!F72="YES", Equations!F78, Equations!F57)*0.001*'Device Parmaters'!E39*1000/'Device Parmaters'!C43</f>
        <v>61.666666666666679</v>
      </c>
      <c r="G109" s="33" t="s">
        <v>8</v>
      </c>
    </row>
    <row r="110" spans="5:13" x14ac:dyDescent="0.2">
      <c r="E110" s="34" t="s">
        <v>264</v>
      </c>
      <c r="F110">
        <f>IF('Design Calculator'!F72="YES", Equations!F78, Equations!F57)*(H110+I110+J110)</f>
        <v>219.52738095238101</v>
      </c>
      <c r="G110" s="33" t="s">
        <v>8</v>
      </c>
      <c r="H110">
        <f>(('Device Parmaters'!C39-'Device Parmaters'!E40)/'Device Parmaters'!E45)*7</f>
        <v>2.7416666666666666E-2</v>
      </c>
      <c r="I110">
        <f>(('Device Parmaters'!C39-'Device Parmaters'!C40)/'Device Parmaters'!D46)*8</f>
        <v>1.9714285714285718</v>
      </c>
      <c r="J110">
        <f>(('Device Parmaters'!C40-'Device Parmaters'!D41)/'Device Parmaters'!D46)</f>
        <v>0.19642857142857145</v>
      </c>
    </row>
    <row r="111" spans="5:13" x14ac:dyDescent="0.2">
      <c r="E111" s="34" t="s">
        <v>12</v>
      </c>
      <c r="F111">
        <f>IF('Design Calculator'!F72="YES", Equations!F78, Equations!F57)*(H111+I111+J111)</f>
        <v>230.44444444444446</v>
      </c>
      <c r="G111" s="33" t="s">
        <v>8</v>
      </c>
      <c r="H111">
        <f>(('Device Parmaters'!D39-'Device Parmaters'!D40)/'Device Parmaters'!D45)*7</f>
        <v>5.4444444444444441E-2</v>
      </c>
      <c r="I111">
        <f>(('Device Parmaters'!D39-'Device Parmaters'!D40)/'Device Parmaters'!D46)*8</f>
        <v>2</v>
      </c>
      <c r="J111">
        <f>(('Device Parmaters'!D40-'Device Parmaters'!D41)/'Device Parmaters'!D46)</f>
        <v>0.25</v>
      </c>
    </row>
    <row r="112" spans="5:13" x14ac:dyDescent="0.2">
      <c r="E112" s="34" t="s">
        <v>284</v>
      </c>
      <c r="F112">
        <f>IF('Design Calculator'!F72="YES", Equations!F78, Equations!F57)*(H112+I112+J112)</f>
        <v>262.02380952380952</v>
      </c>
      <c r="G112" s="33" t="s">
        <v>8</v>
      </c>
      <c r="H112">
        <f>(('Device Parmaters'!E39-'Device Parmaters'!C40)/'Device Parmaters'!C45)*7</f>
        <v>0.11666666666666667</v>
      </c>
      <c r="I112">
        <f>(('Device Parmaters'!E39-'Device Parmaters'!E40)/'Device Parmaters'!D46)*8</f>
        <v>2.2285714285714286</v>
      </c>
      <c r="J112">
        <f>(('Device Parmaters'!E40-'Device Parmaters'!D41)/'Device Parmaters'!D46)</f>
        <v>0.27500000000000002</v>
      </c>
    </row>
    <row r="113" spans="4:12" x14ac:dyDescent="0.2">
      <c r="E113" s="34" t="s">
        <v>283</v>
      </c>
      <c r="F113">
        <f>(1+'Design Calculator'!F120/'Design Calculator'!F121)*'Device Parmaters'!C51</f>
        <v>11.247</v>
      </c>
      <c r="G113" s="33"/>
    </row>
    <row r="114" spans="4:12" x14ac:dyDescent="0.2">
      <c r="E114" s="34" t="s">
        <v>282</v>
      </c>
      <c r="F114">
        <f>(1+'Design Calculator'!F120/'Design Calculator'!F121)*'Device Parmaters'!D51</f>
        <v>11.503285714285715</v>
      </c>
      <c r="G114" s="33"/>
    </row>
    <row r="115" spans="4:12" x14ac:dyDescent="0.2">
      <c r="E115" s="34" t="s">
        <v>281</v>
      </c>
      <c r="F115">
        <f>(1+'Design Calculator'!F120/'Design Calculator'!F121)*'Device Parmaters'!E51</f>
        <v>11.73</v>
      </c>
    </row>
    <row r="116" spans="4:12" x14ac:dyDescent="0.2">
      <c r="E116" s="34" t="s">
        <v>285</v>
      </c>
      <c r="F116">
        <f>('Design Calculator'!F120*'Device Parmaters'!C52)</f>
        <v>223.20000000000002</v>
      </c>
    </row>
    <row r="117" spans="4:12" x14ac:dyDescent="0.2">
      <c r="E117" s="34" t="s">
        <v>286</v>
      </c>
      <c r="F117">
        <f>('Design Calculator'!F120*'Device Parmaters'!$D$52)</f>
        <v>297.60000000000002</v>
      </c>
    </row>
    <row r="118" spans="4:12" x14ac:dyDescent="0.2">
      <c r="E118" s="34" t="s">
        <v>287</v>
      </c>
      <c r="F118">
        <f>('Design Calculator'!F120*'Device Parmaters'!$E$52)</f>
        <v>384.40000000000003</v>
      </c>
    </row>
    <row r="119" spans="4:12" x14ac:dyDescent="0.2">
      <c r="E119" s="34"/>
    </row>
    <row r="120" spans="4:12" x14ac:dyDescent="0.2">
      <c r="E120" s="34"/>
    </row>
    <row r="121" spans="4:12" x14ac:dyDescent="0.2">
      <c r="D121" s="27"/>
      <c r="I121" t="s">
        <v>31</v>
      </c>
      <c r="L121" t="s">
        <v>54</v>
      </c>
    </row>
    <row r="122" spans="4:12" x14ac:dyDescent="0.2">
      <c r="D122" s="27"/>
      <c r="I122" t="s">
        <v>32</v>
      </c>
      <c r="L122" t="s">
        <v>55</v>
      </c>
    </row>
    <row r="123" spans="4:12" x14ac:dyDescent="0.2">
      <c r="D123" s="27"/>
      <c r="I123" t="s">
        <v>33</v>
      </c>
      <c r="L123" t="s">
        <v>56</v>
      </c>
    </row>
    <row r="126" spans="4:12" x14ac:dyDescent="0.2">
      <c r="E126" s="2" t="s">
        <v>22</v>
      </c>
    </row>
    <row r="127" spans="4:12" x14ac:dyDescent="0.2">
      <c r="E127" s="2" t="s">
        <v>23</v>
      </c>
    </row>
    <row r="128" spans="4:12" x14ac:dyDescent="0.2">
      <c r="E128" s="2"/>
      <c r="F128" s="1" t="s">
        <v>28</v>
      </c>
      <c r="G128" s="1" t="s">
        <v>29</v>
      </c>
    </row>
    <row r="129" spans="2:7" x14ac:dyDescent="0.2">
      <c r="E129" s="2" t="s">
        <v>36</v>
      </c>
      <c r="F129" s="18">
        <f>('Design Calculator'!F96-'Design Calculator'!F97)*1000/23</f>
        <v>21.739130434782609</v>
      </c>
      <c r="G129" s="18">
        <f>('Design Calculator'!F96-'Design Calculator'!F97)*1000/23</f>
        <v>21.739130434782609</v>
      </c>
    </row>
    <row r="130" spans="2:7" x14ac:dyDescent="0.2">
      <c r="E130" s="2" t="s">
        <v>35</v>
      </c>
      <c r="F130" s="18">
        <f>(1.16*F129/('Design Calculator'!F97-1.16))-F131</f>
        <v>0.5999855175909552</v>
      </c>
      <c r="G130" s="18">
        <f>1.16*G129/('Design Calculator'!F97-1.16)</f>
        <v>2.6999348291592962</v>
      </c>
    </row>
    <row r="131" spans="2:7" x14ac:dyDescent="0.2">
      <c r="E131" s="2" t="s">
        <v>34</v>
      </c>
      <c r="F131" s="18">
        <f>1.16*F129*'Design Calculator'!F97/('Design Calculator'!F98*('Design Calculator'!F97-1.16))</f>
        <v>2.099949311568341</v>
      </c>
      <c r="G131" s="18">
        <f>('Design Calculator'!F98-'Design Calculator'!F99)*1000/23</f>
        <v>-21.739130434782609</v>
      </c>
    </row>
    <row r="132" spans="2:7" x14ac:dyDescent="0.2">
      <c r="E132" s="2" t="s">
        <v>37</v>
      </c>
      <c r="F132" s="1"/>
      <c r="G132" s="18">
        <f>1.16*G131/('Design Calculator'!F98-1.16)</f>
        <v>-2.0435487280670848</v>
      </c>
    </row>
    <row r="133" spans="2:7" x14ac:dyDescent="0.2">
      <c r="B133" s="10"/>
      <c r="C133" s="11"/>
      <c r="D133" s="11"/>
      <c r="E133" s="12" t="s">
        <v>41</v>
      </c>
      <c r="F133" s="18">
        <f>1.147+('Design Calculator'!F104*((1.147/('Design Calculator'!F105+'Design Calculator'!F106))+(18/1000)))</f>
        <v>10.535872416250891</v>
      </c>
      <c r="G133" s="18">
        <f>1.147+('Design Calculator'!F$104*((1.147/'Design Calculator'!F$105)+(18/1000)))</f>
        <v>32.850692307692306</v>
      </c>
    </row>
    <row r="134" spans="2:7" x14ac:dyDescent="0.2">
      <c r="B134" s="13"/>
      <c r="C134" s="9"/>
      <c r="D134" s="9"/>
      <c r="E134" s="14" t="s">
        <v>42</v>
      </c>
      <c r="F134" s="18">
        <f>1.16+('Design Calculator'!F104*((1.16/('Design Calculator'!F105+'Design Calculator'!F106))+(23/1000)))</f>
        <v>10.760796863863149</v>
      </c>
      <c r="G134" s="18">
        <f>1.16+('Design Calculator'!F$104*((1.16/'Design Calculator'!F$105)+(23/1000)))</f>
        <v>33.32853101736972</v>
      </c>
    </row>
    <row r="135" spans="2:7" x14ac:dyDescent="0.2">
      <c r="B135" s="15"/>
      <c r="C135" s="16"/>
      <c r="D135" s="16"/>
      <c r="E135" s="17" t="s">
        <v>43</v>
      </c>
      <c r="F135" s="18">
        <f>1.173+('Design Calculator'!F104*((1.173/('Design Calculator'!F105+'Design Calculator'!F106))+(28/1000)))</f>
        <v>10.985721311475411</v>
      </c>
      <c r="G135" s="18">
        <f>1.173+('Design Calculator'!F$104*((1.173/'Design Calculator'!F$105)+(28/1000)))</f>
        <v>33.806369727047148</v>
      </c>
    </row>
    <row r="136" spans="2:7" x14ac:dyDescent="0.2">
      <c r="E136" s="3" t="s">
        <v>44</v>
      </c>
      <c r="F136" s="18">
        <f>1.147*('Design Calculator'!F104+'Design Calculator'!F105+'Design Calculator'!F106)/('Design Calculator'!F105+'Design Calculator'!F106)</f>
        <v>10.13987241625089</v>
      </c>
      <c r="G136" s="18">
        <f>1.147*('Design Calculator'!F$104+'Design Calculator'!F$105)/'Design Calculator'!F$105</f>
        <v>32.454692307692312</v>
      </c>
    </row>
    <row r="137" spans="2:7" x14ac:dyDescent="0.2">
      <c r="E137" s="3" t="s">
        <v>45</v>
      </c>
      <c r="F137" s="18">
        <f>1.16*('Design Calculator'!F104+'Design Calculator'!F105+'Design Calculator'!F106)/('Design Calculator'!F105+'Design Calculator'!F106)</f>
        <v>10.254796863863151</v>
      </c>
      <c r="G137" s="18">
        <f>1.16*('Design Calculator'!F$104+'Design Calculator'!F$105)/'Design Calculator'!F$105</f>
        <v>32.822531017369727</v>
      </c>
    </row>
    <row r="138" spans="2:7" x14ac:dyDescent="0.2">
      <c r="E138" s="3" t="s">
        <v>46</v>
      </c>
      <c r="F138" s="18">
        <f>1.173*('Design Calculator'!F104+'Design Calculator'!F105+'Design Calculator'!F106)/('Design Calculator'!F105+'Design Calculator'!F106)</f>
        <v>10.369721311475411</v>
      </c>
      <c r="G138" s="18">
        <f>1.173*('Design Calculator'!F$104+'Design Calculator'!F$105)/'Design Calculator'!F$105</f>
        <v>33.190369727047148</v>
      </c>
    </row>
    <row r="139" spans="2:7" x14ac:dyDescent="0.2">
      <c r="B139" s="10"/>
      <c r="C139" s="11"/>
      <c r="D139" s="11"/>
      <c r="E139" s="12" t="s">
        <v>47</v>
      </c>
      <c r="F139" s="18">
        <f>1.141*('Design Calculator'!F$104+'Design Calculator'!F$105+'Design Calculator'!F$106)/'Design Calculator'!F$106</f>
        <v>14.151823</v>
      </c>
      <c r="G139" s="18">
        <f>1.141*('Design Calculator'!F$106+'Design Calculator'!F$107)/'Design Calculator'!F$107</f>
        <v>1.766205479452055</v>
      </c>
    </row>
    <row r="140" spans="2:7" x14ac:dyDescent="0.2">
      <c r="B140" s="13"/>
      <c r="C140" s="9"/>
      <c r="D140" s="9"/>
      <c r="E140" s="14" t="s">
        <v>48</v>
      </c>
      <c r="F140" s="18">
        <f>1.16*('Design Calculator'!F$104+'Design Calculator'!F$105+'Design Calculator'!F$106)/'Design Calculator'!F$106</f>
        <v>14.38748</v>
      </c>
      <c r="G140" s="18">
        <f>1.16*('Design Calculator'!F$106+'Design Calculator'!F$107)/'Design Calculator'!F$107</f>
        <v>1.7956164383561646</v>
      </c>
    </row>
    <row r="141" spans="2:7" x14ac:dyDescent="0.2">
      <c r="B141" s="15"/>
      <c r="C141" s="16"/>
      <c r="D141" s="16"/>
      <c r="E141" s="17" t="s">
        <v>49</v>
      </c>
      <c r="F141" s="18">
        <f>1.185*('Design Calculator'!F$104+'Design Calculator'!F$105+'Design Calculator'!F$106)/'Design Calculator'!F$106</f>
        <v>14.697555000000001</v>
      </c>
      <c r="G141" s="18">
        <f>1.185*('Design Calculator'!F$106+'Design Calculator'!F$107)/'Design Calculator'!F$107</f>
        <v>1.8343150684931508</v>
      </c>
    </row>
    <row r="142" spans="2:7" x14ac:dyDescent="0.2">
      <c r="E142" s="3" t="s">
        <v>50</v>
      </c>
      <c r="F142" s="18">
        <f>1.141+(('Design Calculator'!F$104+'Design Calculator'!F$105)*((1.142/'Design Calculator'!F$106)-(28/1000)))</f>
        <v>13.524657999999999</v>
      </c>
      <c r="G142" s="18">
        <f>1.141+('Design Calculator'!F$106*((1.141/'Design Calculator'!F$107)-(28/1000)))</f>
        <v>1.7102054794520547</v>
      </c>
    </row>
    <row r="143" spans="2:7" x14ac:dyDescent="0.2">
      <c r="E143" s="3" t="s">
        <v>51</v>
      </c>
      <c r="F143" s="18">
        <f>1.16+(('Design Calculator'!F$104+'Design Calculator'!F$105)*((1.16/'Design Calculator'!F$106)-(23/1000)))</f>
        <v>13.862941999999999</v>
      </c>
      <c r="G143" s="18">
        <f>1.16+('Design Calculator'!F$106*((1.16/'Design Calculator'!F$107)-(23/1000)))</f>
        <v>1.7496164383561643</v>
      </c>
    </row>
    <row r="144" spans="2:7" x14ac:dyDescent="0.2">
      <c r="E144" s="3" t="s">
        <v>52</v>
      </c>
      <c r="F144" s="18">
        <f>1.185+(('Design Calculator'!F$104+'Design Calculator'!F$105)*((1.185/'Design Calculator'!F$106)-(18/1000)))</f>
        <v>14.287047000000001</v>
      </c>
      <c r="G144" s="18">
        <f>1.185+('Design Calculator'!F$106*((1.185/'Design Calculator'!F$107)-(18/1000)))</f>
        <v>1.7983150684931508</v>
      </c>
    </row>
    <row r="152" spans="5:7" x14ac:dyDescent="0.2">
      <c r="E152" s="34" t="s">
        <v>128</v>
      </c>
      <c r="F152" s="33" t="e">
        <f>'Design Calculator'!#REF!</f>
        <v>#REF!</v>
      </c>
      <c r="G152" s="33" t="s">
        <v>8</v>
      </c>
    </row>
    <row r="153" spans="5:7" x14ac:dyDescent="0.2">
      <c r="E153" s="34" t="s">
        <v>129</v>
      </c>
      <c r="F153" s="33">
        <f>'Design Calculator'!F28</f>
        <v>12</v>
      </c>
      <c r="G153" s="33" t="s">
        <v>92</v>
      </c>
    </row>
    <row r="154" spans="5:7" x14ac:dyDescent="0.2">
      <c r="E154" s="34" t="s">
        <v>130</v>
      </c>
      <c r="F154" t="e">
        <f>22/F153*F152</f>
        <v>#REF!</v>
      </c>
      <c r="G154" s="33" t="s">
        <v>131</v>
      </c>
    </row>
    <row r="175" spans="3:6" x14ac:dyDescent="0.2">
      <c r="C175" s="27" t="s">
        <v>61</v>
      </c>
    </row>
    <row r="176" spans="3:6" x14ac:dyDescent="0.2">
      <c r="E176" s="2" t="s">
        <v>62</v>
      </c>
      <c r="F176" s="1">
        <f>'Design Calculator'!F40</f>
        <v>1.5</v>
      </c>
    </row>
    <row r="177" spans="4:18" ht="15.75" x14ac:dyDescent="0.3">
      <c r="E177" s="2" t="s">
        <v>63</v>
      </c>
      <c r="F177" s="1">
        <f>'Design Calculator'!F67</f>
        <v>49.9</v>
      </c>
    </row>
    <row r="178" spans="4:18" x14ac:dyDescent="0.2">
      <c r="E178" s="2" t="s">
        <v>64</v>
      </c>
      <c r="F178" s="1">
        <f>'Design Calculator'!F29</f>
        <v>13</v>
      </c>
    </row>
    <row r="180" spans="4:18" x14ac:dyDescent="0.2">
      <c r="E180" s="2" t="s">
        <v>65</v>
      </c>
      <c r="F180" s="18">
        <f>F24</f>
        <v>15.333333333333334</v>
      </c>
    </row>
    <row r="181" spans="4:18" x14ac:dyDescent="0.2">
      <c r="E181" s="2" t="s">
        <v>66</v>
      </c>
      <c r="F181" s="18">
        <f>F25</f>
        <v>16.666666666666668</v>
      </c>
    </row>
    <row r="182" spans="4:18" x14ac:dyDescent="0.2">
      <c r="E182" s="2" t="s">
        <v>67</v>
      </c>
      <c r="F182" s="18">
        <f>F26</f>
        <v>18</v>
      </c>
    </row>
    <row r="184" spans="4:18" x14ac:dyDescent="0.2">
      <c r="E184" s="2" t="s">
        <v>68</v>
      </c>
      <c r="F184" s="6">
        <f>F46</f>
        <v>144.15502405498279</v>
      </c>
    </row>
    <row r="185" spans="4:18" x14ac:dyDescent="0.2">
      <c r="E185" s="2" t="s">
        <v>69</v>
      </c>
      <c r="F185" s="6">
        <f>F47</f>
        <v>189.67766323024051</v>
      </c>
    </row>
    <row r="186" spans="4:18" x14ac:dyDescent="0.2">
      <c r="E186" s="2" t="s">
        <v>70</v>
      </c>
      <c r="F186" s="6">
        <f>F48</f>
        <v>235.20030240549823</v>
      </c>
    </row>
    <row r="191" spans="4:18" x14ac:dyDescent="0.2">
      <c r="D191" t="s">
        <v>71</v>
      </c>
      <c r="E191" s="2"/>
      <c r="I191" t="s">
        <v>72</v>
      </c>
      <c r="N191" t="s">
        <v>87</v>
      </c>
      <c r="R191" s="33" t="s">
        <v>94</v>
      </c>
    </row>
    <row r="192" spans="4:18" x14ac:dyDescent="0.2">
      <c r="D192" t="s">
        <v>73</v>
      </c>
      <c r="I192" t="s">
        <v>74</v>
      </c>
      <c r="N192" t="s">
        <v>79</v>
      </c>
      <c r="R192" s="33" t="s">
        <v>95</v>
      </c>
    </row>
    <row r="193" spans="2:25" x14ac:dyDescent="0.2">
      <c r="B193" s="33" t="s">
        <v>157</v>
      </c>
      <c r="D193" s="5" t="s">
        <v>75</v>
      </c>
      <c r="E193" s="5" t="s">
        <v>76</v>
      </c>
      <c r="F193" s="155" t="s">
        <v>77</v>
      </c>
      <c r="G193" s="5" t="s">
        <v>78</v>
      </c>
      <c r="I193" s="5" t="s">
        <v>75</v>
      </c>
      <c r="J193" s="5" t="s">
        <v>76</v>
      </c>
      <c r="K193" s="5" t="s">
        <v>77</v>
      </c>
      <c r="L193" s="5" t="s">
        <v>78</v>
      </c>
      <c r="N193" t="s">
        <v>80</v>
      </c>
      <c r="R193" s="5" t="s">
        <v>75</v>
      </c>
      <c r="S193" s="26" t="s">
        <v>76</v>
      </c>
      <c r="T193" s="26" t="s">
        <v>77</v>
      </c>
      <c r="U193" s="26" t="s">
        <v>78</v>
      </c>
      <c r="V193" s="168" t="s">
        <v>86</v>
      </c>
      <c r="X193" s="169" t="s">
        <v>353</v>
      </c>
    </row>
    <row r="194" spans="2:25" x14ac:dyDescent="0.2">
      <c r="B194">
        <f>D194*F194</f>
        <v>172.8776632302405</v>
      </c>
      <c r="D194" s="5">
        <v>1</v>
      </c>
      <c r="E194" s="28">
        <f>(1-$F$217)*F194</f>
        <v>129.65824742268038</v>
      </c>
      <c r="F194" s="28">
        <f t="shared" ref="F194:F210" si="0">($F$185+(D194-VINMAX)*$E$214/$E$215)/D194</f>
        <v>172.8776632302405</v>
      </c>
      <c r="G194" s="28">
        <f>F194*(1+$F$217)</f>
        <v>216.09707903780063</v>
      </c>
      <c r="I194" s="5">
        <v>1</v>
      </c>
      <c r="J194" s="28">
        <f t="shared" ref="J194:J210" si="1">IF(E194&gt;$F$180,$F$180,E194)</f>
        <v>15.333333333333334</v>
      </c>
      <c r="K194" s="28">
        <f t="shared" ref="K194:K210" si="2">IF(F194&gt;$F$181,$F$181,F194)</f>
        <v>16.666666666666668</v>
      </c>
      <c r="L194" s="28">
        <f t="shared" ref="L194:L210" si="3">IF(G194&gt;$F$182,$F$182,G194)</f>
        <v>18</v>
      </c>
      <c r="N194" t="s">
        <v>81</v>
      </c>
      <c r="R194" s="5">
        <v>1</v>
      </c>
      <c r="S194" s="28">
        <f t="shared" ref="S194:S213" si="4">IF($R194&gt;$F$178,0.0000000005,J194)</f>
        <v>15.333333333333334</v>
      </c>
      <c r="T194" s="28">
        <f t="shared" ref="T194:T213" si="5">IF($R194&gt;$F$178,0.0000000005,K194)</f>
        <v>16.666666666666668</v>
      </c>
      <c r="U194" s="28">
        <f t="shared" ref="U194:U213" si="6">IF($R194&gt;$F$178,0.0000000005,L194)</f>
        <v>18</v>
      </c>
      <c r="V194" s="28">
        <f>$X$194/R194</f>
        <v>528.42416828233786</v>
      </c>
      <c r="X194">
        <f>SOA!C26</f>
        <v>528.42416828233786</v>
      </c>
      <c r="Y194" s="33" t="s">
        <v>93</v>
      </c>
    </row>
    <row r="195" spans="2:25" x14ac:dyDescent="0.2">
      <c r="B195">
        <f t="shared" ref="B195:B210" si="7">D195*F195</f>
        <v>174.27766323024051</v>
      </c>
      <c r="D195" s="5">
        <v>2</v>
      </c>
      <c r="E195" s="28">
        <f t="shared" ref="E195:E210" si="8">(1-$F$217)*F195</f>
        <v>65.354123711340193</v>
      </c>
      <c r="F195" s="28">
        <f t="shared" si="0"/>
        <v>87.138831615120253</v>
      </c>
      <c r="G195" s="28">
        <f t="shared" ref="G195:G210" si="9">F195*(1+$F$217)</f>
        <v>108.92353951890031</v>
      </c>
      <c r="I195" s="5">
        <v>2</v>
      </c>
      <c r="J195" s="28">
        <f t="shared" si="1"/>
        <v>15.333333333333334</v>
      </c>
      <c r="K195" s="28">
        <f t="shared" si="2"/>
        <v>16.666666666666668</v>
      </c>
      <c r="L195" s="28">
        <f t="shared" si="3"/>
        <v>18</v>
      </c>
      <c r="R195" s="5">
        <v>2</v>
      </c>
      <c r="S195" s="28">
        <f t="shared" si="4"/>
        <v>15.333333333333334</v>
      </c>
      <c r="T195" s="28">
        <f t="shared" si="5"/>
        <v>16.666666666666668</v>
      </c>
      <c r="U195" s="28">
        <f t="shared" si="6"/>
        <v>18</v>
      </c>
      <c r="V195" s="28">
        <f t="shared" ref="V195:V213" si="10">$X$194/R195</f>
        <v>264.21208414116893</v>
      </c>
    </row>
    <row r="196" spans="2:25" x14ac:dyDescent="0.2">
      <c r="B196">
        <f t="shared" si="7"/>
        <v>175.67766323024051</v>
      </c>
      <c r="D196" s="5">
        <v>3</v>
      </c>
      <c r="E196" s="28">
        <f t="shared" si="8"/>
        <v>43.919415807560128</v>
      </c>
      <c r="F196" s="28">
        <f t="shared" si="0"/>
        <v>58.559221076746837</v>
      </c>
      <c r="G196" s="28">
        <f t="shared" si="9"/>
        <v>73.199026345933547</v>
      </c>
      <c r="I196" s="5">
        <v>3</v>
      </c>
      <c r="J196" s="28">
        <f t="shared" si="1"/>
        <v>15.333333333333334</v>
      </c>
      <c r="K196" s="28">
        <f t="shared" si="2"/>
        <v>16.666666666666668</v>
      </c>
      <c r="L196" s="28">
        <f t="shared" si="3"/>
        <v>18</v>
      </c>
      <c r="O196" s="29" t="s">
        <v>82</v>
      </c>
      <c r="R196" s="5">
        <v>3</v>
      </c>
      <c r="S196" s="28">
        <f t="shared" si="4"/>
        <v>15.333333333333334</v>
      </c>
      <c r="T196" s="28">
        <f t="shared" si="5"/>
        <v>16.666666666666668</v>
      </c>
      <c r="U196" s="28">
        <f t="shared" si="6"/>
        <v>18</v>
      </c>
      <c r="V196" s="28">
        <f t="shared" si="10"/>
        <v>176.14138942744594</v>
      </c>
    </row>
    <row r="197" spans="2:25" x14ac:dyDescent="0.2">
      <c r="B197">
        <f t="shared" si="7"/>
        <v>177.07766323024052</v>
      </c>
      <c r="D197" s="5">
        <v>4</v>
      </c>
      <c r="E197" s="28">
        <f t="shared" si="8"/>
        <v>33.202061855670095</v>
      </c>
      <c r="F197" s="28">
        <f t="shared" si="0"/>
        <v>44.269415807560129</v>
      </c>
      <c r="G197" s="28">
        <f t="shared" si="9"/>
        <v>55.336769759450164</v>
      </c>
      <c r="I197" s="5">
        <v>4</v>
      </c>
      <c r="J197" s="28">
        <f t="shared" si="1"/>
        <v>15.333333333333334</v>
      </c>
      <c r="K197" s="28">
        <f t="shared" si="2"/>
        <v>16.666666666666668</v>
      </c>
      <c r="L197" s="28">
        <f t="shared" si="3"/>
        <v>18</v>
      </c>
      <c r="N197" s="8" t="s">
        <v>75</v>
      </c>
      <c r="O197" s="30" t="s">
        <v>83</v>
      </c>
      <c r="R197" s="5">
        <v>4</v>
      </c>
      <c r="S197" s="28">
        <f t="shared" si="4"/>
        <v>15.333333333333334</v>
      </c>
      <c r="T197" s="28">
        <f t="shared" si="5"/>
        <v>16.666666666666668</v>
      </c>
      <c r="U197" s="28">
        <f t="shared" si="6"/>
        <v>18</v>
      </c>
      <c r="V197" s="28">
        <f t="shared" si="10"/>
        <v>132.10604207058446</v>
      </c>
    </row>
    <row r="198" spans="2:25" x14ac:dyDescent="0.2">
      <c r="B198">
        <f t="shared" si="7"/>
        <v>178.47766323024052</v>
      </c>
      <c r="D198" s="5">
        <v>5</v>
      </c>
      <c r="E198" s="28">
        <f t="shared" si="8"/>
        <v>26.771649484536081</v>
      </c>
      <c r="F198" s="28">
        <f t="shared" si="0"/>
        <v>35.695532646048107</v>
      </c>
      <c r="G198" s="28">
        <f t="shared" si="9"/>
        <v>44.619415807560131</v>
      </c>
      <c r="I198" s="5">
        <v>5</v>
      </c>
      <c r="J198" s="28">
        <f t="shared" si="1"/>
        <v>15.333333333333334</v>
      </c>
      <c r="K198" s="28">
        <f t="shared" si="2"/>
        <v>16.666666666666668</v>
      </c>
      <c r="L198" s="28">
        <f t="shared" si="3"/>
        <v>18</v>
      </c>
      <c r="N198" s="5">
        <v>1</v>
      </c>
      <c r="O198" s="5">
        <f>SOA!C39</f>
        <v>528.42416828233786</v>
      </c>
      <c r="P198" t="s">
        <v>84</v>
      </c>
      <c r="R198" s="5">
        <v>5</v>
      </c>
      <c r="S198" s="28">
        <f t="shared" si="4"/>
        <v>15.333333333333334</v>
      </c>
      <c r="T198" s="28">
        <f t="shared" si="5"/>
        <v>16.666666666666668</v>
      </c>
      <c r="U198" s="28">
        <f t="shared" si="6"/>
        <v>18</v>
      </c>
      <c r="V198" s="28">
        <f t="shared" si="10"/>
        <v>105.68483365646757</v>
      </c>
    </row>
    <row r="199" spans="2:25" x14ac:dyDescent="0.2">
      <c r="B199">
        <f t="shared" si="7"/>
        <v>179.8776632302405</v>
      </c>
      <c r="D199" s="5">
        <v>6</v>
      </c>
      <c r="E199" s="28">
        <f t="shared" si="8"/>
        <v>22.484707903780063</v>
      </c>
      <c r="F199" s="28">
        <f t="shared" si="0"/>
        <v>29.979610538373418</v>
      </c>
      <c r="G199" s="28">
        <f t="shared" si="9"/>
        <v>37.474513172966773</v>
      </c>
      <c r="I199" s="5">
        <v>6</v>
      </c>
      <c r="J199" s="28">
        <f t="shared" si="1"/>
        <v>15.333333333333334</v>
      </c>
      <c r="K199" s="28">
        <f t="shared" si="2"/>
        <v>16.666666666666668</v>
      </c>
      <c r="L199" s="28">
        <f t="shared" si="3"/>
        <v>18</v>
      </c>
      <c r="N199" s="5">
        <v>2</v>
      </c>
      <c r="O199" s="28">
        <f>O202+((O198-O202)*3/7)</f>
        <v>478.09805701735331</v>
      </c>
      <c r="R199" s="5">
        <v>6</v>
      </c>
      <c r="S199" s="28">
        <f t="shared" si="4"/>
        <v>15.333333333333334</v>
      </c>
      <c r="T199" s="28">
        <f t="shared" si="5"/>
        <v>16.666666666666668</v>
      </c>
      <c r="U199" s="28">
        <f t="shared" si="6"/>
        <v>18</v>
      </c>
      <c r="V199" s="28">
        <f t="shared" si="10"/>
        <v>88.070694713722972</v>
      </c>
    </row>
    <row r="200" spans="2:25" x14ac:dyDescent="0.2">
      <c r="B200">
        <f t="shared" si="7"/>
        <v>181.27766323024051</v>
      </c>
      <c r="D200" s="5">
        <v>7</v>
      </c>
      <c r="E200" s="28">
        <f t="shared" si="8"/>
        <v>19.422606774668626</v>
      </c>
      <c r="F200" s="28">
        <f t="shared" si="0"/>
        <v>25.8968090328915</v>
      </c>
      <c r="G200" s="28">
        <f t="shared" si="9"/>
        <v>32.371011291114378</v>
      </c>
      <c r="I200" s="5">
        <v>7</v>
      </c>
      <c r="J200" s="28">
        <f t="shared" si="1"/>
        <v>15.333333333333334</v>
      </c>
      <c r="K200" s="28">
        <f t="shared" si="2"/>
        <v>16.666666666666668</v>
      </c>
      <c r="L200" s="28">
        <f t="shared" si="3"/>
        <v>18</v>
      </c>
      <c r="N200" s="5">
        <v>3</v>
      </c>
      <c r="O200" s="28">
        <f>O202+((O198-O202)*2/8)</f>
        <v>462.37114724704566</v>
      </c>
      <c r="R200" s="5">
        <v>7</v>
      </c>
      <c r="S200" s="28">
        <f t="shared" si="4"/>
        <v>15.333333333333334</v>
      </c>
      <c r="T200" s="28">
        <f t="shared" si="5"/>
        <v>16.666666666666668</v>
      </c>
      <c r="U200" s="28">
        <f t="shared" si="6"/>
        <v>18</v>
      </c>
      <c r="V200" s="28">
        <f t="shared" si="10"/>
        <v>75.489166897476835</v>
      </c>
    </row>
    <row r="201" spans="2:25" x14ac:dyDescent="0.2">
      <c r="B201">
        <f t="shared" si="7"/>
        <v>182.67766323024051</v>
      </c>
      <c r="D201" s="5">
        <v>8</v>
      </c>
      <c r="E201" s="28">
        <f t="shared" si="8"/>
        <v>17.126030927835046</v>
      </c>
      <c r="F201" s="28">
        <f t="shared" si="0"/>
        <v>22.834707903780064</v>
      </c>
      <c r="G201" s="28">
        <f t="shared" si="9"/>
        <v>28.543384879725082</v>
      </c>
      <c r="I201" s="5">
        <v>8</v>
      </c>
      <c r="J201" s="28">
        <f t="shared" si="1"/>
        <v>15.333333333333334</v>
      </c>
      <c r="K201" s="28">
        <f t="shared" si="2"/>
        <v>16.666666666666668</v>
      </c>
      <c r="L201" s="28">
        <f t="shared" si="3"/>
        <v>18</v>
      </c>
      <c r="N201" s="5">
        <v>4</v>
      </c>
      <c r="O201" s="28">
        <f>O202+((O198-O202)*1/9)</f>
        <v>450.13910631458413</v>
      </c>
      <c r="R201" s="5">
        <v>8</v>
      </c>
      <c r="S201" s="28">
        <f t="shared" si="4"/>
        <v>15.333333333333334</v>
      </c>
      <c r="T201" s="28">
        <f t="shared" si="5"/>
        <v>16.666666666666668</v>
      </c>
      <c r="U201" s="28">
        <f t="shared" si="6"/>
        <v>18</v>
      </c>
      <c r="V201" s="28">
        <f t="shared" si="10"/>
        <v>66.053021035292232</v>
      </c>
    </row>
    <row r="202" spans="2:25" x14ac:dyDescent="0.2">
      <c r="B202">
        <f t="shared" si="7"/>
        <v>184.07766323024052</v>
      </c>
      <c r="D202" s="5">
        <v>9</v>
      </c>
      <c r="E202" s="28">
        <f t="shared" si="8"/>
        <v>15.339805269186709</v>
      </c>
      <c r="F202" s="28">
        <f t="shared" si="0"/>
        <v>20.453073692248946</v>
      </c>
      <c r="G202" s="28">
        <f t="shared" si="9"/>
        <v>25.566342115311183</v>
      </c>
      <c r="I202" s="5">
        <v>9</v>
      </c>
      <c r="J202" s="28">
        <f t="shared" si="1"/>
        <v>15.333333333333334</v>
      </c>
      <c r="K202" s="28">
        <f t="shared" si="2"/>
        <v>16.666666666666668</v>
      </c>
      <c r="L202" s="28">
        <f t="shared" si="3"/>
        <v>18</v>
      </c>
      <c r="N202" s="5">
        <v>5</v>
      </c>
      <c r="O202" s="28">
        <f>SOA!C40</f>
        <v>440.3534735686149</v>
      </c>
      <c r="P202" t="s">
        <v>85</v>
      </c>
      <c r="R202" s="5">
        <v>9</v>
      </c>
      <c r="S202" s="28">
        <f t="shared" si="4"/>
        <v>15.333333333333334</v>
      </c>
      <c r="T202" s="28">
        <f t="shared" si="5"/>
        <v>16.666666666666668</v>
      </c>
      <c r="U202" s="28">
        <f t="shared" si="6"/>
        <v>18</v>
      </c>
      <c r="V202" s="28">
        <f t="shared" si="10"/>
        <v>58.713796475815315</v>
      </c>
    </row>
    <row r="203" spans="2:25" x14ac:dyDescent="0.2">
      <c r="B203">
        <f t="shared" si="7"/>
        <v>185.47766323024052</v>
      </c>
      <c r="D203" s="5">
        <v>10</v>
      </c>
      <c r="E203" s="28">
        <f t="shared" si="8"/>
        <v>13.910824742268041</v>
      </c>
      <c r="F203" s="28">
        <f t="shared" si="0"/>
        <v>18.547766323024053</v>
      </c>
      <c r="G203" s="28">
        <f t="shared" si="9"/>
        <v>23.184707903780065</v>
      </c>
      <c r="I203" s="5">
        <v>10</v>
      </c>
      <c r="J203" s="28">
        <f t="shared" si="1"/>
        <v>13.910824742268041</v>
      </c>
      <c r="K203" s="28">
        <f t="shared" si="2"/>
        <v>16.666666666666668</v>
      </c>
      <c r="L203" s="28">
        <f t="shared" si="3"/>
        <v>18</v>
      </c>
      <c r="N203" s="5">
        <v>6</v>
      </c>
      <c r="O203" s="28">
        <f>O$207+((O$202-O$207)*4/6)</f>
        <v>299.44036202665814</v>
      </c>
      <c r="R203" s="5">
        <v>10</v>
      </c>
      <c r="S203" s="28">
        <f t="shared" si="4"/>
        <v>13.910824742268041</v>
      </c>
      <c r="T203" s="28">
        <f t="shared" si="5"/>
        <v>16.666666666666668</v>
      </c>
      <c r="U203" s="28">
        <f t="shared" si="6"/>
        <v>18</v>
      </c>
      <c r="V203" s="28">
        <f t="shared" si="10"/>
        <v>52.842416828233787</v>
      </c>
    </row>
    <row r="204" spans="2:25" x14ac:dyDescent="0.2">
      <c r="B204">
        <f t="shared" si="7"/>
        <v>186.8776632302405</v>
      </c>
      <c r="D204" s="5">
        <v>11</v>
      </c>
      <c r="E204" s="28">
        <f t="shared" si="8"/>
        <v>12.741658856607305</v>
      </c>
      <c r="F204" s="28">
        <f t="shared" si="0"/>
        <v>16.988878475476408</v>
      </c>
      <c r="G204" s="28">
        <f t="shared" si="9"/>
        <v>21.236098094345511</v>
      </c>
      <c r="I204" s="5">
        <v>11</v>
      </c>
      <c r="J204" s="28">
        <f t="shared" si="1"/>
        <v>12.741658856607305</v>
      </c>
      <c r="K204" s="28">
        <f t="shared" si="2"/>
        <v>16.666666666666668</v>
      </c>
      <c r="L204" s="28">
        <f t="shared" si="3"/>
        <v>18</v>
      </c>
      <c r="N204" s="5">
        <v>7</v>
      </c>
      <c r="O204" s="28">
        <f>O$207+((O$202-O$207)*3/7)</f>
        <v>198.78813949668901</v>
      </c>
      <c r="R204" s="5">
        <v>11</v>
      </c>
      <c r="S204" s="28">
        <f t="shared" si="4"/>
        <v>12.741658856607305</v>
      </c>
      <c r="T204" s="28">
        <f t="shared" si="5"/>
        <v>16.666666666666668</v>
      </c>
      <c r="U204" s="28">
        <f t="shared" si="6"/>
        <v>18</v>
      </c>
      <c r="V204" s="28">
        <f t="shared" si="10"/>
        <v>48.038560752939809</v>
      </c>
    </row>
    <row r="205" spans="2:25" x14ac:dyDescent="0.2">
      <c r="B205">
        <f t="shared" si="7"/>
        <v>188.27766323024051</v>
      </c>
      <c r="D205" s="5">
        <v>12</v>
      </c>
      <c r="E205" s="28">
        <f t="shared" si="8"/>
        <v>11.767353951890032</v>
      </c>
      <c r="F205" s="28">
        <f t="shared" si="0"/>
        <v>15.689805269186708</v>
      </c>
      <c r="G205" s="28">
        <f t="shared" si="9"/>
        <v>19.612256586483387</v>
      </c>
      <c r="I205" s="5">
        <v>12</v>
      </c>
      <c r="J205" s="28">
        <f t="shared" si="1"/>
        <v>11.767353951890032</v>
      </c>
      <c r="K205" s="28">
        <f t="shared" si="2"/>
        <v>15.689805269186708</v>
      </c>
      <c r="L205" s="28">
        <f t="shared" si="3"/>
        <v>18</v>
      </c>
      <c r="N205" s="5">
        <v>8</v>
      </c>
      <c r="O205" s="28">
        <f>O$207+((O$202-O$207)*2/8)</f>
        <v>123.29897259921216</v>
      </c>
      <c r="R205" s="5">
        <v>12</v>
      </c>
      <c r="S205" s="28">
        <f t="shared" si="4"/>
        <v>11.767353951890032</v>
      </c>
      <c r="T205" s="28">
        <f t="shared" si="5"/>
        <v>15.689805269186708</v>
      </c>
      <c r="U205" s="28">
        <f t="shared" si="6"/>
        <v>18</v>
      </c>
      <c r="V205" s="28">
        <f t="shared" si="10"/>
        <v>44.035347356861486</v>
      </c>
    </row>
    <row r="206" spans="2:25" x14ac:dyDescent="0.2">
      <c r="B206">
        <f t="shared" si="7"/>
        <v>189.67766323024051</v>
      </c>
      <c r="D206" s="5">
        <v>13</v>
      </c>
      <c r="E206" s="28">
        <f t="shared" si="8"/>
        <v>10.942942109436952</v>
      </c>
      <c r="F206" s="28">
        <f t="shared" si="0"/>
        <v>14.590589479249271</v>
      </c>
      <c r="G206" s="28">
        <f t="shared" si="9"/>
        <v>18.23823684906159</v>
      </c>
      <c r="I206" s="5">
        <v>13</v>
      </c>
      <c r="J206" s="28">
        <f t="shared" si="1"/>
        <v>10.942942109436952</v>
      </c>
      <c r="K206" s="28">
        <f t="shared" si="2"/>
        <v>14.590589479249271</v>
      </c>
      <c r="L206" s="28">
        <f t="shared" si="3"/>
        <v>18</v>
      </c>
      <c r="N206" s="5">
        <v>9</v>
      </c>
      <c r="O206" s="28">
        <f>O$207+((O$202-O$207)*1/9)</f>
        <v>64.585176123396849</v>
      </c>
      <c r="R206" s="5">
        <v>13</v>
      </c>
      <c r="S206" s="28">
        <f t="shared" si="4"/>
        <v>10.942942109436952</v>
      </c>
      <c r="T206" s="28">
        <f t="shared" si="5"/>
        <v>14.590589479249271</v>
      </c>
      <c r="U206" s="28">
        <f t="shared" si="6"/>
        <v>18</v>
      </c>
      <c r="V206" s="28">
        <f t="shared" si="10"/>
        <v>40.648012944795219</v>
      </c>
    </row>
    <row r="207" spans="2:25" x14ac:dyDescent="0.2">
      <c r="B207">
        <f t="shared" si="7"/>
        <v>191.07766323024052</v>
      </c>
      <c r="D207" s="5">
        <v>14</v>
      </c>
      <c r="E207" s="28">
        <f t="shared" si="8"/>
        <v>10.236303387334313</v>
      </c>
      <c r="F207" s="28">
        <f t="shared" si="0"/>
        <v>13.648404516445751</v>
      </c>
      <c r="G207" s="28">
        <f t="shared" si="9"/>
        <v>17.060505645557189</v>
      </c>
      <c r="I207" s="5">
        <v>14</v>
      </c>
      <c r="J207" s="28">
        <f t="shared" si="1"/>
        <v>10.236303387334313</v>
      </c>
      <c r="K207" s="28">
        <f t="shared" si="2"/>
        <v>13.648404516445751</v>
      </c>
      <c r="L207" s="28">
        <f t="shared" si="3"/>
        <v>17.060505645557189</v>
      </c>
      <c r="N207" s="5">
        <v>10</v>
      </c>
      <c r="O207" s="28">
        <f>SOA!C41</f>
        <v>17.614138942744596</v>
      </c>
      <c r="P207" t="s">
        <v>85</v>
      </c>
      <c r="R207" s="5">
        <v>14</v>
      </c>
      <c r="S207" s="28">
        <f t="shared" si="4"/>
        <v>5.0000000000000003E-10</v>
      </c>
      <c r="T207" s="28">
        <f t="shared" si="5"/>
        <v>5.0000000000000003E-10</v>
      </c>
      <c r="U207" s="28">
        <f t="shared" si="6"/>
        <v>5.0000000000000003E-10</v>
      </c>
      <c r="V207" s="28">
        <f t="shared" si="10"/>
        <v>37.744583448738418</v>
      </c>
    </row>
    <row r="208" spans="2:25" x14ac:dyDescent="0.2">
      <c r="B208">
        <f t="shared" si="7"/>
        <v>192.47766323024052</v>
      </c>
      <c r="D208" s="5">
        <v>15</v>
      </c>
      <c r="E208" s="28">
        <f t="shared" si="8"/>
        <v>9.6238831615120262</v>
      </c>
      <c r="F208" s="28">
        <f t="shared" si="0"/>
        <v>12.831844215349369</v>
      </c>
      <c r="G208" s="28">
        <f t="shared" si="9"/>
        <v>16.039805269186711</v>
      </c>
      <c r="I208" s="5">
        <v>15</v>
      </c>
      <c r="J208" s="28">
        <f t="shared" si="1"/>
        <v>9.6238831615120262</v>
      </c>
      <c r="K208" s="28">
        <f t="shared" si="2"/>
        <v>12.831844215349369</v>
      </c>
      <c r="L208" s="28">
        <f t="shared" si="3"/>
        <v>16.039805269186711</v>
      </c>
      <c r="N208" s="5">
        <v>11</v>
      </c>
      <c r="O208" s="28">
        <f>O$212+((O$207-O$212)*4/6)</f>
        <v>11.742759295163063</v>
      </c>
      <c r="R208" s="5">
        <v>15</v>
      </c>
      <c r="S208" s="28">
        <f t="shared" si="4"/>
        <v>5.0000000000000003E-10</v>
      </c>
      <c r="T208" s="28">
        <f t="shared" si="5"/>
        <v>5.0000000000000003E-10</v>
      </c>
      <c r="U208" s="28">
        <f t="shared" si="6"/>
        <v>5.0000000000000003E-10</v>
      </c>
      <c r="V208" s="28">
        <f t="shared" si="10"/>
        <v>35.228277885489192</v>
      </c>
    </row>
    <row r="209" spans="2:22" x14ac:dyDescent="0.2">
      <c r="B209">
        <f t="shared" si="7"/>
        <v>193.8776632302405</v>
      </c>
      <c r="D209" s="5">
        <v>16</v>
      </c>
      <c r="E209" s="28">
        <f t="shared" si="8"/>
        <v>9.0880154639175235</v>
      </c>
      <c r="F209" s="28">
        <f t="shared" si="0"/>
        <v>12.117353951890031</v>
      </c>
      <c r="G209" s="28">
        <f t="shared" si="9"/>
        <v>15.146692439862539</v>
      </c>
      <c r="I209" s="5">
        <v>16</v>
      </c>
      <c r="J209" s="28">
        <f t="shared" si="1"/>
        <v>9.0880154639175235</v>
      </c>
      <c r="K209" s="28">
        <f t="shared" si="2"/>
        <v>12.117353951890031</v>
      </c>
      <c r="L209" s="28">
        <f t="shared" si="3"/>
        <v>15.146692439862539</v>
      </c>
      <c r="N209" s="5">
        <v>12</v>
      </c>
      <c r="O209" s="28">
        <f>O$212+((O$207-O$212)*3/7)</f>
        <v>7.548916689747684</v>
      </c>
      <c r="R209" s="5">
        <v>16</v>
      </c>
      <c r="S209" s="28">
        <f t="shared" si="4"/>
        <v>5.0000000000000003E-10</v>
      </c>
      <c r="T209" s="28">
        <f t="shared" si="5"/>
        <v>5.0000000000000003E-10</v>
      </c>
      <c r="U209" s="28">
        <f t="shared" si="6"/>
        <v>5.0000000000000003E-10</v>
      </c>
      <c r="V209" s="28">
        <f t="shared" si="10"/>
        <v>33.026510517646116</v>
      </c>
    </row>
    <row r="210" spans="2:22" x14ac:dyDescent="0.2">
      <c r="B210">
        <f t="shared" si="7"/>
        <v>195.27766323024053</v>
      </c>
      <c r="D210" s="5">
        <v>17</v>
      </c>
      <c r="E210" s="28">
        <f t="shared" si="8"/>
        <v>8.6151910248635524</v>
      </c>
      <c r="F210" s="28">
        <f t="shared" si="0"/>
        <v>11.486921366484736</v>
      </c>
      <c r="G210" s="28">
        <f t="shared" si="9"/>
        <v>14.358651708105921</v>
      </c>
      <c r="I210" s="5">
        <v>17</v>
      </c>
      <c r="J210" s="28">
        <f t="shared" si="1"/>
        <v>8.6151910248635524</v>
      </c>
      <c r="K210" s="28">
        <f t="shared" si="2"/>
        <v>11.486921366484736</v>
      </c>
      <c r="L210" s="28">
        <f t="shared" si="3"/>
        <v>14.358651708105921</v>
      </c>
      <c r="N210" s="5">
        <v>13</v>
      </c>
      <c r="O210" s="28">
        <f>O$212+((O$207-O$212)*2/8)</f>
        <v>4.4035347356861489</v>
      </c>
      <c r="R210" s="5">
        <v>17</v>
      </c>
      <c r="S210" s="28">
        <f t="shared" si="4"/>
        <v>5.0000000000000003E-10</v>
      </c>
      <c r="T210" s="28">
        <f t="shared" si="5"/>
        <v>5.0000000000000003E-10</v>
      </c>
      <c r="U210" s="28">
        <f t="shared" si="6"/>
        <v>5.0000000000000003E-10</v>
      </c>
      <c r="V210" s="28">
        <f t="shared" si="10"/>
        <v>31.083774604843402</v>
      </c>
    </row>
    <row r="211" spans="2:22" x14ac:dyDescent="0.2">
      <c r="N211" s="5">
        <v>14</v>
      </c>
      <c r="O211" s="28">
        <f>O$212+((O$207-O$212)*1/9)</f>
        <v>1.9571265491938439</v>
      </c>
      <c r="R211" s="26">
        <v>18</v>
      </c>
      <c r="S211" s="28">
        <f t="shared" si="4"/>
        <v>5.0000000000000003E-10</v>
      </c>
      <c r="T211" s="28">
        <f t="shared" si="5"/>
        <v>5.0000000000000003E-10</v>
      </c>
      <c r="U211" s="28">
        <f t="shared" si="6"/>
        <v>5.0000000000000003E-10</v>
      </c>
      <c r="V211" s="28">
        <f t="shared" si="10"/>
        <v>29.356898237907657</v>
      </c>
    </row>
    <row r="212" spans="2:22" x14ac:dyDescent="0.2">
      <c r="D212" s="33" t="s">
        <v>348</v>
      </c>
      <c r="N212" s="5">
        <v>15</v>
      </c>
      <c r="O212" s="28">
        <f>SOA!C42</f>
        <v>0</v>
      </c>
      <c r="P212" t="s">
        <v>85</v>
      </c>
      <c r="R212" s="26">
        <v>19</v>
      </c>
      <c r="S212" s="28">
        <f t="shared" si="4"/>
        <v>5.0000000000000003E-10</v>
      </c>
      <c r="T212" s="28">
        <f t="shared" si="5"/>
        <v>5.0000000000000003E-10</v>
      </c>
      <c r="U212" s="28">
        <f t="shared" si="6"/>
        <v>5.0000000000000003E-10</v>
      </c>
      <c r="V212" s="28">
        <f t="shared" si="10"/>
        <v>27.81179833064936</v>
      </c>
    </row>
    <row r="213" spans="2:22" x14ac:dyDescent="0.2">
      <c r="N213" s="5">
        <v>16</v>
      </c>
      <c r="O213" s="28">
        <f>O$217+((O$212-O$217)*4/6)</f>
        <v>0</v>
      </c>
      <c r="R213" s="26">
        <v>20</v>
      </c>
      <c r="S213" s="28">
        <f t="shared" si="4"/>
        <v>5.0000000000000003E-10</v>
      </c>
      <c r="T213" s="28">
        <f t="shared" si="5"/>
        <v>5.0000000000000003E-10</v>
      </c>
      <c r="U213" s="28">
        <f t="shared" si="6"/>
        <v>5.0000000000000003E-10</v>
      </c>
      <c r="V213" s="28">
        <f t="shared" si="10"/>
        <v>26.421208414116894</v>
      </c>
    </row>
    <row r="214" spans="2:22" x14ac:dyDescent="0.2">
      <c r="D214" s="33" t="s">
        <v>349</v>
      </c>
      <c r="E214">
        <f>'Device Parmaters'!E12</f>
        <v>2.0999999999999999E-3</v>
      </c>
      <c r="N214" s="5">
        <v>17</v>
      </c>
      <c r="O214" s="28">
        <f>O$217+((O$212-O$217)*3/7)</f>
        <v>0</v>
      </c>
    </row>
    <row r="215" spans="2:22" x14ac:dyDescent="0.2">
      <c r="D215" s="33" t="s">
        <v>350</v>
      </c>
      <c r="E215">
        <f>RsEFF*0.001</f>
        <v>1.5E-3</v>
      </c>
      <c r="N215" s="26">
        <v>18</v>
      </c>
      <c r="O215" s="28">
        <f>O$217+((O$212-O$217)*2/8)</f>
        <v>0</v>
      </c>
    </row>
    <row r="216" spans="2:22" x14ac:dyDescent="0.2">
      <c r="D216" s="33" t="s">
        <v>351</v>
      </c>
      <c r="E216">
        <f>VINMAX</f>
        <v>13</v>
      </c>
      <c r="N216" s="26">
        <v>19</v>
      </c>
      <c r="O216" s="28">
        <f>O$217+((O$212-O$217)*1/9)</f>
        <v>0</v>
      </c>
    </row>
    <row r="217" spans="2:22" x14ac:dyDescent="0.2">
      <c r="D217" s="33" t="s">
        <v>352</v>
      </c>
      <c r="E217" s="152"/>
      <c r="F217">
        <v>0.25</v>
      </c>
      <c r="N217" s="26">
        <v>20</v>
      </c>
      <c r="O217" s="28">
        <f>SOA!C43</f>
        <v>0</v>
      </c>
      <c r="P217" t="s">
        <v>85</v>
      </c>
    </row>
    <row r="219" spans="2:22" x14ac:dyDescent="0.2">
      <c r="D219" s="156" t="s">
        <v>313</v>
      </c>
    </row>
  </sheetData>
  <mergeCells count="3">
    <mergeCell ref="D52:G52"/>
    <mergeCell ref="D61:G61"/>
    <mergeCell ref="D75:H75"/>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Y115"/>
  <sheetViews>
    <sheetView zoomScale="85" zoomScaleNormal="85" workbookViewId="0">
      <selection activeCell="E14" sqref="E14"/>
    </sheetView>
  </sheetViews>
  <sheetFormatPr baseColWidth="10" defaultColWidth="9.28515625" defaultRowHeight="12.75" x14ac:dyDescent="0.2"/>
  <cols>
    <col min="1" max="1" width="11" style="71" customWidth="1"/>
    <col min="2" max="3" width="9.28515625" style="71"/>
    <col min="4" max="5" width="15" style="71" customWidth="1"/>
    <col min="6" max="6" width="15.42578125" style="71" customWidth="1"/>
    <col min="7" max="7" width="14.7109375" style="71" customWidth="1"/>
    <col min="8" max="8" width="10.7109375" style="71" customWidth="1"/>
    <col min="9" max="9" width="12.42578125" style="71" bestFit="1" customWidth="1"/>
    <col min="10" max="10" width="14.7109375" style="71" customWidth="1"/>
    <col min="11" max="11" width="12.7109375" style="71" customWidth="1"/>
    <col min="12" max="12" width="14.28515625" style="71" customWidth="1"/>
    <col min="13" max="13" width="20.7109375" style="71" customWidth="1"/>
    <col min="14" max="14" width="12.7109375" style="71" customWidth="1"/>
    <col min="15" max="15" width="10.28515625" style="71" bestFit="1" customWidth="1"/>
    <col min="16" max="16" width="18.7109375" style="71" customWidth="1"/>
    <col min="17" max="17" width="10.7109375" style="71" customWidth="1"/>
    <col min="18" max="16384" width="9.28515625" style="71"/>
  </cols>
  <sheetData>
    <row r="1" spans="1:25" x14ac:dyDescent="0.2">
      <c r="B1" s="71" t="s">
        <v>157</v>
      </c>
      <c r="C1" s="71" t="s">
        <v>323</v>
      </c>
      <c r="D1" s="71" t="s">
        <v>324</v>
      </c>
      <c r="F1" s="170" t="s">
        <v>358</v>
      </c>
      <c r="G1" s="170" t="s">
        <v>325</v>
      </c>
      <c r="H1" s="170" t="s">
        <v>326</v>
      </c>
      <c r="I1" s="170" t="s">
        <v>327</v>
      </c>
      <c r="J1" s="170" t="s">
        <v>328</v>
      </c>
      <c r="K1" s="170"/>
      <c r="L1" s="170"/>
      <c r="M1" s="170" t="s">
        <v>332</v>
      </c>
      <c r="N1" s="170"/>
      <c r="O1" s="170" t="s">
        <v>333</v>
      </c>
      <c r="Q1" s="71" t="s">
        <v>374</v>
      </c>
      <c r="R1" s="71" t="s">
        <v>375</v>
      </c>
    </row>
    <row r="2" spans="1:25" x14ac:dyDescent="0.2">
      <c r="B2" s="160">
        <f>'Design Calculator'!F68</f>
        <v>189.67766323024051</v>
      </c>
      <c r="C2" s="71">
        <f>'Design Calculator'!F47</f>
        <v>16.666666666666668</v>
      </c>
      <c r="D2" s="71" t="str">
        <f>IF( 'Design Calculator'!F70 = "Constant Current", "CC", "R")</f>
        <v>CC</v>
      </c>
      <c r="F2" s="71" t="str">
        <f>'Design Calculator'!F72</f>
        <v>No</v>
      </c>
      <c r="G2" s="71">
        <f>'Design Calculator'!F71</f>
        <v>6</v>
      </c>
      <c r="H2" s="71">
        <f>'Design Calculator'!F69</f>
        <v>12</v>
      </c>
      <c r="I2" s="71">
        <f>RsEFF</f>
        <v>1.5</v>
      </c>
      <c r="J2" s="71">
        <f>'Device Parmaters'!E12</f>
        <v>2.0999999999999999E-3</v>
      </c>
      <c r="M2" s="160">
        <f>J114*1000</f>
        <v>8.2501902601132535E-2</v>
      </c>
      <c r="N2" s="71" t="s">
        <v>8</v>
      </c>
      <c r="O2" s="164">
        <f>MIN(L10:L111)</f>
        <v>0.64</v>
      </c>
      <c r="Q2" s="71">
        <f>'Device Parmaters'!E30/'Device Parmaters'!D30</f>
        <v>1.2727272727272727</v>
      </c>
      <c r="R2" s="71">
        <f>'Device Parmaters'!C30/'Device Parmaters'!D30</f>
        <v>0.72727272727272729</v>
      </c>
    </row>
    <row r="3" spans="1:25" x14ac:dyDescent="0.2">
      <c r="B3" s="160"/>
      <c r="M3" s="160"/>
      <c r="O3" s="164"/>
    </row>
    <row r="4" spans="1:25" x14ac:dyDescent="0.2">
      <c r="B4" s="160"/>
      <c r="D4" s="71" t="s">
        <v>366</v>
      </c>
      <c r="M4" s="160" t="s">
        <v>367</v>
      </c>
      <c r="N4" s="71">
        <f>MIN(M10:M114)</f>
        <v>23.333333333333343</v>
      </c>
      <c r="O4" s="164" t="s">
        <v>362</v>
      </c>
      <c r="P4" s="71" t="s">
        <v>376</v>
      </c>
      <c r="Q4" s="71">
        <f>MAX(O10:O114)</f>
        <v>189.67766323024051</v>
      </c>
      <c r="R4" s="71" t="s">
        <v>93</v>
      </c>
    </row>
    <row r="5" spans="1:25" x14ac:dyDescent="0.2">
      <c r="B5" s="160"/>
      <c r="M5" s="71" t="s">
        <v>368</v>
      </c>
      <c r="N5" s="71">
        <f>SUM(N10:N114)</f>
        <v>8.4003906250000003E-3</v>
      </c>
      <c r="O5" s="164" t="s">
        <v>369</v>
      </c>
      <c r="P5" s="71" t="s">
        <v>378</v>
      </c>
      <c r="Q5" s="71">
        <f>MAX(P10:P114)</f>
        <v>6.28</v>
      </c>
      <c r="R5" s="71" t="s">
        <v>93</v>
      </c>
    </row>
    <row r="6" spans="1:25" x14ac:dyDescent="0.2">
      <c r="P6" s="71" t="s">
        <v>377</v>
      </c>
      <c r="Q6" s="71">
        <f>MAX(Q10:Q114)</f>
        <v>6.16</v>
      </c>
      <c r="R6" s="71" t="s">
        <v>93</v>
      </c>
    </row>
    <row r="7" spans="1:25" x14ac:dyDescent="0.2">
      <c r="A7" s="161" t="s">
        <v>182</v>
      </c>
      <c r="B7" s="162" t="s">
        <v>151</v>
      </c>
      <c r="C7" s="162" t="s">
        <v>152</v>
      </c>
      <c r="D7" s="162" t="s">
        <v>157</v>
      </c>
      <c r="E7" s="162" t="s">
        <v>356</v>
      </c>
      <c r="F7" s="162" t="s">
        <v>357</v>
      </c>
      <c r="G7" s="162" t="s">
        <v>330</v>
      </c>
      <c r="H7" s="162" t="s">
        <v>180</v>
      </c>
      <c r="I7" s="162" t="s">
        <v>329</v>
      </c>
      <c r="J7" s="163" t="s">
        <v>163</v>
      </c>
      <c r="K7" s="163" t="s">
        <v>408</v>
      </c>
      <c r="L7" s="161" t="s">
        <v>331</v>
      </c>
      <c r="M7" s="161" t="s">
        <v>370</v>
      </c>
      <c r="N7" s="161" t="s">
        <v>407</v>
      </c>
      <c r="O7" s="161" t="s">
        <v>371</v>
      </c>
      <c r="P7" s="71" t="s">
        <v>372</v>
      </c>
      <c r="Q7" s="71" t="s">
        <v>373</v>
      </c>
    </row>
    <row r="8" spans="1:25" x14ac:dyDescent="0.2">
      <c r="A8" s="161"/>
      <c r="B8" s="162"/>
      <c r="C8" s="162"/>
      <c r="D8" s="162"/>
      <c r="E8" s="162"/>
      <c r="F8" s="162"/>
      <c r="G8" s="162"/>
      <c r="H8" s="162"/>
      <c r="I8" s="162"/>
      <c r="J8" s="163"/>
      <c r="K8" s="214">
        <v>-10</v>
      </c>
      <c r="L8" s="161"/>
      <c r="M8" s="161"/>
      <c r="N8" s="161"/>
      <c r="O8" s="71">
        <v>0</v>
      </c>
    </row>
    <row r="9" spans="1:25" x14ac:dyDescent="0.2">
      <c r="A9" s="161"/>
      <c r="B9" s="162"/>
      <c r="C9" s="162"/>
      <c r="D9" s="162"/>
      <c r="E9" s="162"/>
      <c r="F9" s="162"/>
      <c r="G9" s="162"/>
      <c r="H9" s="162"/>
      <c r="I9" s="162"/>
      <c r="J9" s="163"/>
      <c r="K9" s="81">
        <v>-0.01</v>
      </c>
      <c r="L9" s="161"/>
      <c r="M9" s="161"/>
      <c r="N9" s="161"/>
      <c r="O9" s="71">
        <v>0</v>
      </c>
    </row>
    <row r="10" spans="1:25" x14ac:dyDescent="0.2">
      <c r="A10" s="71">
        <f t="shared" ref="A10:A41" si="0">VINMAX</f>
        <v>13</v>
      </c>
      <c r="B10" s="74">
        <f t="shared" ref="B10:B41" si="1">VINMAX*((ROW()-10)/104)</f>
        <v>0</v>
      </c>
      <c r="C10" s="72">
        <f t="shared" ref="C10:C41" si="2">IF(B10&gt;=$H$2,IF($D$2="CC", $G$2, B10/$G$2), 0)</f>
        <v>0</v>
      </c>
      <c r="D10" s="70">
        <f>$B$2-B10*$J$2/($I$2*0.001)</f>
        <v>189.67766323024051</v>
      </c>
      <c r="E10" s="70">
        <f>MIN(D10/(A10-B10),$C$2)</f>
        <v>14.590589479249271</v>
      </c>
      <c r="F10" s="72">
        <f>I_Cout_ss+C10</f>
        <v>0.22000000000000003</v>
      </c>
      <c r="G10" s="70">
        <f>IF($F$2="YES", F10, E10)</f>
        <v>14.590589479249271</v>
      </c>
      <c r="H10" s="72">
        <f t="shared" ref="H10:H41" si="3">G10-C10</f>
        <v>14.590589479249271</v>
      </c>
      <c r="I10" s="73">
        <f>(COUTMAX/1000000)*(B10)/H10</f>
        <v>0</v>
      </c>
      <c r="J10" s="80">
        <f>I10</f>
        <v>0</v>
      </c>
      <c r="K10" s="214">
        <f>J10*1000</f>
        <v>0</v>
      </c>
      <c r="L10" s="164">
        <f>H10/G10</f>
        <v>1</v>
      </c>
      <c r="M10" s="71">
        <f t="shared" ref="M10:M41" si="4">1/COUTMAX*(E10/2-C10)*1000</f>
        <v>72.952947396246358</v>
      </c>
      <c r="N10" s="71">
        <f>I10*G10*(A10-B10)</f>
        <v>0</v>
      </c>
      <c r="O10" s="71">
        <f>G10*(A10-B10)</f>
        <v>189.67766323024051</v>
      </c>
      <c r="P10" s="71">
        <f t="shared" ref="P10:P41" si="5">(A10-B10)*(I_Cout_ss*$Q$2+C10)</f>
        <v>3.6400000000000006</v>
      </c>
      <c r="Q10" s="71">
        <f t="shared" ref="Q10:Q41" si="6">(A10-B10)*(I_Cout_ss*$R$2+C10)</f>
        <v>2.0800000000000005</v>
      </c>
    </row>
    <row r="11" spans="1:25" x14ac:dyDescent="0.2">
      <c r="A11" s="71">
        <f t="shared" si="0"/>
        <v>13</v>
      </c>
      <c r="B11" s="74">
        <f t="shared" si="1"/>
        <v>0.125</v>
      </c>
      <c r="C11" s="72">
        <f t="shared" si="2"/>
        <v>0</v>
      </c>
      <c r="D11" s="70">
        <f t="shared" ref="D11:D41" si="7">$B$2-B11*$J$2/($I$2*0.001)</f>
        <v>189.5026632302405</v>
      </c>
      <c r="E11" s="70">
        <f t="shared" ref="E11:E74" si="8">MIN(D11/(A11-B11),$C$2)</f>
        <v>14.718653454775961</v>
      </c>
      <c r="F11" s="72">
        <f t="shared" ref="F11:F41" si="9">I_Cout_ss+C11</f>
        <v>0.22000000000000003</v>
      </c>
      <c r="G11" s="70">
        <f t="shared" ref="G11:G74" si="10">IF($F$2="YES", F11, E11)</f>
        <v>14.718653454775961</v>
      </c>
      <c r="H11" s="72">
        <f t="shared" si="3"/>
        <v>14.718653454775961</v>
      </c>
      <c r="I11" s="73">
        <f t="shared" ref="I11:I42" si="11">(COUTMAX/1000000)*(B11-B10)/H11</f>
        <v>8.4926247081005613E-7</v>
      </c>
      <c r="J11" s="80">
        <f>J10+I11</f>
        <v>8.4926247081005613E-7</v>
      </c>
      <c r="K11" s="214">
        <f t="shared" ref="K11:K74" si="12">J11*1000</f>
        <v>8.4926247081005613E-4</v>
      </c>
      <c r="L11" s="164">
        <f t="shared" ref="L11:L74" si="13">H11/G11</f>
        <v>1</v>
      </c>
      <c r="M11" s="71">
        <f t="shared" si="4"/>
        <v>73.593267273879817</v>
      </c>
      <c r="N11" s="71">
        <f t="shared" ref="N11:N13" si="14">I11*G11*(A11-B11)</f>
        <v>1.609375E-4</v>
      </c>
      <c r="O11" s="71">
        <f>G11*(A11-B11)</f>
        <v>189.5026632302405</v>
      </c>
      <c r="P11" s="71">
        <f t="shared" si="5"/>
        <v>3.6050000000000004</v>
      </c>
      <c r="Q11" s="71">
        <f t="shared" si="6"/>
        <v>2.0600000000000005</v>
      </c>
    </row>
    <row r="12" spans="1:25" x14ac:dyDescent="0.2">
      <c r="A12" s="71">
        <f t="shared" si="0"/>
        <v>13</v>
      </c>
      <c r="B12" s="74">
        <f t="shared" si="1"/>
        <v>0.25</v>
      </c>
      <c r="C12" s="72">
        <f t="shared" si="2"/>
        <v>0</v>
      </c>
      <c r="D12" s="70">
        <f t="shared" si="7"/>
        <v>189.32766323024052</v>
      </c>
      <c r="E12" s="70">
        <f t="shared" si="8"/>
        <v>14.849228488646315</v>
      </c>
      <c r="F12" s="72">
        <f t="shared" si="9"/>
        <v>0.22000000000000003</v>
      </c>
      <c r="G12" s="70">
        <f t="shared" si="10"/>
        <v>14.849228488646315</v>
      </c>
      <c r="H12" s="72">
        <f t="shared" si="3"/>
        <v>14.849228488646315</v>
      </c>
      <c r="I12" s="73">
        <f t="shared" si="11"/>
        <v>8.4179457603184373E-7</v>
      </c>
      <c r="J12" s="80">
        <f t="shared" ref="J12:J75" si="15">J11+I12</f>
        <v>1.6910570468419E-6</v>
      </c>
      <c r="K12" s="214">
        <f t="shared" si="12"/>
        <v>1.6910570468418999E-3</v>
      </c>
      <c r="L12" s="164">
        <f t="shared" si="13"/>
        <v>1</v>
      </c>
      <c r="M12" s="71">
        <f t="shared" si="4"/>
        <v>74.246142443231577</v>
      </c>
      <c r="N12" s="71">
        <f>I12*G12*(A12-B12)</f>
        <v>1.5937500000000001E-4</v>
      </c>
      <c r="O12" s="71">
        <f t="shared" ref="O12:O74" si="16">G12*(A12-B12)</f>
        <v>189.32766323024052</v>
      </c>
      <c r="P12" s="71">
        <f t="shared" si="5"/>
        <v>3.5700000000000003</v>
      </c>
      <c r="Q12" s="71">
        <f t="shared" si="6"/>
        <v>2.0400000000000005</v>
      </c>
      <c r="X12" s="377" t="s">
        <v>153</v>
      </c>
      <c r="Y12" s="377"/>
    </row>
    <row r="13" spans="1:25" x14ac:dyDescent="0.2">
      <c r="A13" s="71">
        <f t="shared" si="0"/>
        <v>13</v>
      </c>
      <c r="B13" s="74">
        <f t="shared" si="1"/>
        <v>0.375</v>
      </c>
      <c r="C13" s="72">
        <f t="shared" si="2"/>
        <v>0</v>
      </c>
      <c r="D13" s="70">
        <f t="shared" si="7"/>
        <v>189.15266323024051</v>
      </c>
      <c r="E13" s="70">
        <f t="shared" si="8"/>
        <v>14.982389166751723</v>
      </c>
      <c r="F13" s="72">
        <f t="shared" si="9"/>
        <v>0.22000000000000003</v>
      </c>
      <c r="G13" s="70">
        <f>IF($F$2="YES", F13, E13)</f>
        <v>14.982389166751723</v>
      </c>
      <c r="H13" s="72">
        <f t="shared" si="3"/>
        <v>14.982389166751723</v>
      </c>
      <c r="I13" s="73">
        <f t="shared" si="11"/>
        <v>8.3431286298045616E-7</v>
      </c>
      <c r="J13" s="80">
        <f t="shared" si="15"/>
        <v>2.5253699098223559E-6</v>
      </c>
      <c r="K13" s="214">
        <f t="shared" si="12"/>
        <v>2.5253699098223559E-3</v>
      </c>
      <c r="L13" s="164">
        <f t="shared" si="13"/>
        <v>1</v>
      </c>
      <c r="M13" s="71">
        <f t="shared" si="4"/>
        <v>74.911945833758608</v>
      </c>
      <c r="N13" s="71">
        <f t="shared" si="14"/>
        <v>1.5781250000000002E-4</v>
      </c>
      <c r="O13" s="71">
        <f t="shared" si="16"/>
        <v>189.15266323024051</v>
      </c>
      <c r="P13" s="71">
        <f t="shared" si="5"/>
        <v>3.5350000000000001</v>
      </c>
      <c r="Q13" s="71">
        <f t="shared" si="6"/>
        <v>2.0200000000000005</v>
      </c>
      <c r="X13" s="75" t="s">
        <v>154</v>
      </c>
      <c r="Y13" s="76">
        <v>0.3</v>
      </c>
    </row>
    <row r="14" spans="1:25" x14ac:dyDescent="0.2">
      <c r="A14" s="71">
        <f t="shared" si="0"/>
        <v>13</v>
      </c>
      <c r="B14" s="74">
        <f t="shared" si="1"/>
        <v>0.5</v>
      </c>
      <c r="C14" s="72">
        <f t="shared" si="2"/>
        <v>0</v>
      </c>
      <c r="D14" s="70">
        <f t="shared" si="7"/>
        <v>188.97766323024052</v>
      </c>
      <c r="E14" s="70">
        <f t="shared" si="8"/>
        <v>15.118213058419242</v>
      </c>
      <c r="F14" s="72">
        <f t="shared" si="9"/>
        <v>0.22000000000000003</v>
      </c>
      <c r="G14" s="70">
        <f t="shared" si="10"/>
        <v>15.118213058419242</v>
      </c>
      <c r="H14" s="72">
        <f t="shared" si="3"/>
        <v>15.118213058419242</v>
      </c>
      <c r="I14" s="73">
        <f t="shared" si="11"/>
        <v>8.268172932672639E-7</v>
      </c>
      <c r="J14" s="80">
        <f t="shared" si="15"/>
        <v>3.3521872030896196E-6</v>
      </c>
      <c r="K14" s="214">
        <f t="shared" si="12"/>
        <v>3.3521872030896197E-3</v>
      </c>
      <c r="L14" s="164">
        <f t="shared" si="13"/>
        <v>1</v>
      </c>
      <c r="M14" s="71">
        <f t="shared" si="4"/>
        <v>75.591065292096204</v>
      </c>
      <c r="N14" s="71">
        <f t="shared" ref="N14:N74" si="17">I14*G14*(A14-B14)</f>
        <v>1.5625E-4</v>
      </c>
      <c r="O14" s="71">
        <f t="shared" si="16"/>
        <v>188.97766323024052</v>
      </c>
      <c r="P14" s="71">
        <f t="shared" si="5"/>
        <v>3.5000000000000004</v>
      </c>
      <c r="Q14" s="71">
        <f t="shared" si="6"/>
        <v>2.0000000000000004</v>
      </c>
      <c r="X14" s="75" t="s">
        <v>155</v>
      </c>
      <c r="Y14" s="76">
        <v>0.3</v>
      </c>
    </row>
    <row r="15" spans="1:25" x14ac:dyDescent="0.2">
      <c r="A15" s="71">
        <f t="shared" si="0"/>
        <v>13</v>
      </c>
      <c r="B15" s="74">
        <f t="shared" si="1"/>
        <v>0.625</v>
      </c>
      <c r="C15" s="72">
        <f t="shared" si="2"/>
        <v>0</v>
      </c>
      <c r="D15" s="70">
        <f t="shared" si="7"/>
        <v>188.80266323024051</v>
      </c>
      <c r="E15" s="70">
        <f t="shared" si="8"/>
        <v>15.256780867090143</v>
      </c>
      <c r="F15" s="72">
        <f t="shared" si="9"/>
        <v>0.22000000000000003</v>
      </c>
      <c r="G15" s="70">
        <f t="shared" si="10"/>
        <v>15.256780867090143</v>
      </c>
      <c r="H15" s="72">
        <f t="shared" si="3"/>
        <v>15.256780867090143</v>
      </c>
      <c r="I15" s="73">
        <f t="shared" si="11"/>
        <v>8.1930782836130948E-7</v>
      </c>
      <c r="J15" s="80">
        <f t="shared" si="15"/>
        <v>4.1714950314509291E-6</v>
      </c>
      <c r="K15" s="214">
        <f t="shared" si="12"/>
        <v>4.1714950314509294E-3</v>
      </c>
      <c r="L15" s="164">
        <f t="shared" si="13"/>
        <v>1</v>
      </c>
      <c r="M15" s="71">
        <f t="shared" si="4"/>
        <v>76.283904335450728</v>
      </c>
      <c r="N15" s="71">
        <f t="shared" si="17"/>
        <v>1.5468750000000001E-4</v>
      </c>
      <c r="O15" s="71">
        <f t="shared" si="16"/>
        <v>188.80266323024051</v>
      </c>
      <c r="P15" s="71">
        <f t="shared" si="5"/>
        <v>3.4650000000000003</v>
      </c>
      <c r="Q15" s="71">
        <f t="shared" si="6"/>
        <v>1.9800000000000004</v>
      </c>
      <c r="X15" s="75" t="s">
        <v>156</v>
      </c>
      <c r="Y15" s="76">
        <f>SQRT(Y14^2+Y13^2)</f>
        <v>0.42426406871192851</v>
      </c>
    </row>
    <row r="16" spans="1:25" x14ac:dyDescent="0.2">
      <c r="A16" s="71">
        <f t="shared" si="0"/>
        <v>13</v>
      </c>
      <c r="B16" s="74">
        <f t="shared" si="1"/>
        <v>0.75</v>
      </c>
      <c r="C16" s="72">
        <f t="shared" si="2"/>
        <v>0</v>
      </c>
      <c r="D16" s="70">
        <f t="shared" si="7"/>
        <v>188.6276632302405</v>
      </c>
      <c r="E16" s="70">
        <f t="shared" si="8"/>
        <v>15.398176590223715</v>
      </c>
      <c r="F16" s="72">
        <f t="shared" si="9"/>
        <v>0.22000000000000003</v>
      </c>
      <c r="G16" s="70">
        <f t="shared" si="10"/>
        <v>15.398176590223715</v>
      </c>
      <c r="H16" s="72">
        <f t="shared" si="3"/>
        <v>15.398176590223715</v>
      </c>
      <c r="I16" s="73">
        <f t="shared" si="11"/>
        <v>8.1178442958864603E-7</v>
      </c>
      <c r="J16" s="80">
        <f t="shared" si="15"/>
        <v>4.9832794610395752E-6</v>
      </c>
      <c r="K16" s="214">
        <f t="shared" si="12"/>
        <v>4.9832794610395756E-3</v>
      </c>
      <c r="L16" s="164">
        <f t="shared" si="13"/>
        <v>1</v>
      </c>
      <c r="M16" s="71">
        <f t="shared" si="4"/>
        <v>76.990882951118564</v>
      </c>
      <c r="N16" s="71">
        <f t="shared" si="17"/>
        <v>1.53125E-4</v>
      </c>
      <c r="O16" s="71">
        <f t="shared" si="16"/>
        <v>188.6276632302405</v>
      </c>
      <c r="P16" s="71">
        <f t="shared" si="5"/>
        <v>3.43</v>
      </c>
      <c r="Q16" s="71">
        <f t="shared" si="6"/>
        <v>1.9600000000000004</v>
      </c>
      <c r="X16" s="76"/>
      <c r="Y16" s="76"/>
    </row>
    <row r="17" spans="1:25" x14ac:dyDescent="0.2">
      <c r="A17" s="71">
        <f t="shared" si="0"/>
        <v>13</v>
      </c>
      <c r="B17" s="74">
        <f t="shared" si="1"/>
        <v>0.875</v>
      </c>
      <c r="C17" s="72">
        <f t="shared" si="2"/>
        <v>0</v>
      </c>
      <c r="D17" s="70">
        <f t="shared" si="7"/>
        <v>188.45266323024052</v>
      </c>
      <c r="E17" s="70">
        <f t="shared" si="8"/>
        <v>15.542487689092001</v>
      </c>
      <c r="F17" s="72">
        <f t="shared" si="9"/>
        <v>0.22000000000000003</v>
      </c>
      <c r="G17" s="70">
        <f t="shared" si="10"/>
        <v>15.542487689092001</v>
      </c>
      <c r="H17" s="72">
        <f t="shared" si="3"/>
        <v>15.542487689092001</v>
      </c>
      <c r="I17" s="73">
        <f t="shared" si="11"/>
        <v>8.0424705813167391E-7</v>
      </c>
      <c r="J17" s="80">
        <f t="shared" si="15"/>
        <v>5.7875265191712491E-6</v>
      </c>
      <c r="K17" s="214">
        <f t="shared" si="12"/>
        <v>5.7875265191712488E-3</v>
      </c>
      <c r="L17" s="164">
        <f t="shared" si="13"/>
        <v>1</v>
      </c>
      <c r="M17" s="71">
        <f t="shared" si="4"/>
        <v>77.712438445460009</v>
      </c>
      <c r="N17" s="71">
        <f t="shared" si="17"/>
        <v>1.515625E-4</v>
      </c>
      <c r="O17" s="71">
        <f t="shared" si="16"/>
        <v>188.45266323024052</v>
      </c>
      <c r="P17" s="71">
        <f t="shared" si="5"/>
        <v>3.3950000000000005</v>
      </c>
      <c r="Q17" s="71">
        <f t="shared" si="6"/>
        <v>1.9400000000000004</v>
      </c>
      <c r="X17" s="75" t="s">
        <v>157</v>
      </c>
      <c r="Y17" s="76">
        <v>0.3</v>
      </c>
    </row>
    <row r="18" spans="1:25" x14ac:dyDescent="0.2">
      <c r="A18" s="71">
        <f t="shared" si="0"/>
        <v>13</v>
      </c>
      <c r="B18" s="74">
        <f t="shared" si="1"/>
        <v>1</v>
      </c>
      <c r="C18" s="72">
        <f t="shared" si="2"/>
        <v>0</v>
      </c>
      <c r="D18" s="70">
        <f t="shared" si="7"/>
        <v>188.27766323024051</v>
      </c>
      <c r="E18" s="70">
        <f t="shared" si="8"/>
        <v>15.689805269186708</v>
      </c>
      <c r="F18" s="72">
        <f t="shared" si="9"/>
        <v>0.22000000000000003</v>
      </c>
      <c r="G18" s="70">
        <f t="shared" si="10"/>
        <v>15.689805269186708</v>
      </c>
      <c r="H18" s="72">
        <f t="shared" si="3"/>
        <v>15.689805269186708</v>
      </c>
      <c r="I18" s="73">
        <f t="shared" si="11"/>
        <v>7.9669567502847324E-7</v>
      </c>
      <c r="J18" s="80">
        <f t="shared" si="15"/>
        <v>6.5842221941997221E-6</v>
      </c>
      <c r="K18" s="214">
        <f t="shared" si="12"/>
        <v>6.5842221941997221E-3</v>
      </c>
      <c r="L18" s="164">
        <f t="shared" si="13"/>
        <v>1</v>
      </c>
      <c r="M18" s="71">
        <f t="shared" si="4"/>
        <v>78.449026345933532</v>
      </c>
      <c r="N18" s="71">
        <f t="shared" si="17"/>
        <v>1.5000000000000001E-4</v>
      </c>
      <c r="O18" s="71">
        <f t="shared" si="16"/>
        <v>188.27766323024051</v>
      </c>
      <c r="P18" s="71">
        <f t="shared" si="5"/>
        <v>3.3600000000000003</v>
      </c>
      <c r="Q18" s="71">
        <f t="shared" si="6"/>
        <v>1.9200000000000004</v>
      </c>
      <c r="X18" s="75" t="s">
        <v>158</v>
      </c>
      <c r="Y18" s="76">
        <f>MAX(Y15:Y17)</f>
        <v>0.42426406871192851</v>
      </c>
    </row>
    <row r="19" spans="1:25" x14ac:dyDescent="0.2">
      <c r="A19" s="71">
        <f t="shared" si="0"/>
        <v>13</v>
      </c>
      <c r="B19" s="74">
        <f t="shared" si="1"/>
        <v>1.125</v>
      </c>
      <c r="C19" s="72">
        <f t="shared" si="2"/>
        <v>0</v>
      </c>
      <c r="D19" s="70">
        <f t="shared" si="7"/>
        <v>188.10266323024052</v>
      </c>
      <c r="E19" s="70">
        <f t="shared" si="8"/>
        <v>15.840224272020254</v>
      </c>
      <c r="F19" s="72">
        <f t="shared" si="9"/>
        <v>0.22000000000000003</v>
      </c>
      <c r="G19" s="70">
        <f t="shared" si="10"/>
        <v>15.840224272020254</v>
      </c>
      <c r="H19" s="72">
        <f t="shared" si="3"/>
        <v>15.840224272020254</v>
      </c>
      <c r="I19" s="73">
        <f t="shared" si="11"/>
        <v>7.8913024117213192E-7</v>
      </c>
      <c r="J19" s="80">
        <f t="shared" si="15"/>
        <v>7.3733524353718542E-6</v>
      </c>
      <c r="K19" s="214">
        <f t="shared" si="12"/>
        <v>7.3733524353718546E-3</v>
      </c>
      <c r="L19" s="164">
        <f t="shared" si="13"/>
        <v>1</v>
      </c>
      <c r="M19" s="71">
        <f t="shared" si="4"/>
        <v>79.201121360101268</v>
      </c>
      <c r="N19" s="71">
        <f t="shared" si="17"/>
        <v>1.484375E-4</v>
      </c>
      <c r="O19" s="71">
        <f t="shared" si="16"/>
        <v>188.10266323024052</v>
      </c>
      <c r="P19" s="71">
        <f t="shared" si="5"/>
        <v>3.3250000000000002</v>
      </c>
      <c r="Q19" s="71">
        <f t="shared" si="6"/>
        <v>1.9000000000000004</v>
      </c>
      <c r="X19" s="76"/>
      <c r="Y19" s="76"/>
    </row>
    <row r="20" spans="1:25" x14ac:dyDescent="0.2">
      <c r="A20" s="71">
        <f t="shared" si="0"/>
        <v>13</v>
      </c>
      <c r="B20" s="74">
        <f t="shared" si="1"/>
        <v>1.25</v>
      </c>
      <c r="C20" s="72">
        <f t="shared" si="2"/>
        <v>0</v>
      </c>
      <c r="D20" s="70">
        <f t="shared" si="7"/>
        <v>187.92766323024051</v>
      </c>
      <c r="E20" s="70">
        <f t="shared" si="8"/>
        <v>15.993843679169405</v>
      </c>
      <c r="F20" s="72">
        <f t="shared" si="9"/>
        <v>0.22000000000000003</v>
      </c>
      <c r="G20" s="70">
        <f t="shared" si="10"/>
        <v>15.993843679169405</v>
      </c>
      <c r="H20" s="72">
        <f t="shared" si="3"/>
        <v>15.993843679169405</v>
      </c>
      <c r="I20" s="73">
        <f t="shared" si="11"/>
        <v>7.8155071731007146E-7</v>
      </c>
      <c r="J20" s="80">
        <f t="shared" si="15"/>
        <v>8.1549031526819259E-6</v>
      </c>
      <c r="K20" s="214">
        <f t="shared" si="12"/>
        <v>8.1549031526819259E-3</v>
      </c>
      <c r="L20" s="164">
        <f t="shared" si="13"/>
        <v>1</v>
      </c>
      <c r="M20" s="71">
        <f t="shared" si="4"/>
        <v>79.969218395847037</v>
      </c>
      <c r="N20" s="71">
        <f t="shared" si="17"/>
        <v>1.4687500000000001E-4</v>
      </c>
      <c r="O20" s="71">
        <f t="shared" si="16"/>
        <v>187.92766323024051</v>
      </c>
      <c r="P20" s="71">
        <f t="shared" si="5"/>
        <v>3.2900000000000005</v>
      </c>
      <c r="Q20" s="71">
        <f t="shared" si="6"/>
        <v>1.8800000000000003</v>
      </c>
      <c r="X20" s="75" t="s">
        <v>159</v>
      </c>
      <c r="Y20" s="76">
        <v>0.2</v>
      </c>
    </row>
    <row r="21" spans="1:25" x14ac:dyDescent="0.2">
      <c r="A21" s="71">
        <f t="shared" si="0"/>
        <v>13</v>
      </c>
      <c r="B21" s="74">
        <f t="shared" si="1"/>
        <v>1.375</v>
      </c>
      <c r="C21" s="72">
        <f t="shared" si="2"/>
        <v>0</v>
      </c>
      <c r="D21" s="70">
        <f t="shared" si="7"/>
        <v>187.7526632302405</v>
      </c>
      <c r="E21" s="70">
        <f t="shared" si="8"/>
        <v>16.150766729483053</v>
      </c>
      <c r="F21" s="72">
        <f t="shared" si="9"/>
        <v>0.22000000000000003</v>
      </c>
      <c r="G21" s="70">
        <f t="shared" si="10"/>
        <v>16.150766729483053</v>
      </c>
      <c r="H21" s="72">
        <f t="shared" si="3"/>
        <v>16.150766729483053</v>
      </c>
      <c r="I21" s="73">
        <f t="shared" si="11"/>
        <v>7.7395706404336726E-7</v>
      </c>
      <c r="J21" s="80">
        <f t="shared" si="15"/>
        <v>8.928860216725293E-6</v>
      </c>
      <c r="K21" s="214">
        <f t="shared" si="12"/>
        <v>8.9288602167252925E-3</v>
      </c>
      <c r="L21" s="164">
        <f t="shared" si="13"/>
        <v>1</v>
      </c>
      <c r="M21" s="71">
        <f t="shared" si="4"/>
        <v>80.753833647415277</v>
      </c>
      <c r="N21" s="71">
        <f t="shared" si="17"/>
        <v>1.4531250000000002E-4</v>
      </c>
      <c r="O21" s="71">
        <f t="shared" si="16"/>
        <v>187.7526632302405</v>
      </c>
      <c r="P21" s="71">
        <f t="shared" si="5"/>
        <v>3.2550000000000003</v>
      </c>
      <c r="Q21" s="71">
        <f t="shared" si="6"/>
        <v>1.8600000000000003</v>
      </c>
      <c r="X21" s="75" t="s">
        <v>160</v>
      </c>
      <c r="Y21" s="76">
        <v>0.2</v>
      </c>
    </row>
    <row r="22" spans="1:25" x14ac:dyDescent="0.2">
      <c r="A22" s="71">
        <f t="shared" si="0"/>
        <v>13</v>
      </c>
      <c r="B22" s="74">
        <f t="shared" si="1"/>
        <v>1.5</v>
      </c>
      <c r="C22" s="72">
        <f t="shared" si="2"/>
        <v>0</v>
      </c>
      <c r="D22" s="70">
        <f t="shared" si="7"/>
        <v>187.57766323024052</v>
      </c>
      <c r="E22" s="70">
        <f t="shared" si="8"/>
        <v>16.311101150455698</v>
      </c>
      <c r="F22" s="72">
        <f t="shared" si="9"/>
        <v>0.22000000000000003</v>
      </c>
      <c r="G22" s="70">
        <f t="shared" si="10"/>
        <v>16.311101150455698</v>
      </c>
      <c r="H22" s="72">
        <f t="shared" si="3"/>
        <v>16.311101150455698</v>
      </c>
      <c r="I22" s="73">
        <f t="shared" si="11"/>
        <v>7.6634924182606621E-7</v>
      </c>
      <c r="J22" s="80">
        <f t="shared" si="15"/>
        <v>9.6952094585513585E-6</v>
      </c>
      <c r="K22" s="214">
        <f t="shared" si="12"/>
        <v>9.6952094585513581E-3</v>
      </c>
      <c r="L22" s="164">
        <f t="shared" si="13"/>
        <v>1</v>
      </c>
      <c r="M22" s="71">
        <f t="shared" si="4"/>
        <v>81.555505752278492</v>
      </c>
      <c r="N22" s="71">
        <f t="shared" si="17"/>
        <v>1.4375E-4</v>
      </c>
      <c r="O22" s="71">
        <f t="shared" si="16"/>
        <v>187.57766323024055</v>
      </c>
      <c r="P22" s="71">
        <f t="shared" si="5"/>
        <v>3.22</v>
      </c>
      <c r="Q22" s="71">
        <f t="shared" si="6"/>
        <v>1.8400000000000003</v>
      </c>
      <c r="X22" s="75" t="s">
        <v>156</v>
      </c>
      <c r="Y22" s="76">
        <f>SQRT(Y21^2+Y20^2)</f>
        <v>0.28284271247461906</v>
      </c>
    </row>
    <row r="23" spans="1:25" x14ac:dyDescent="0.2">
      <c r="A23" s="71">
        <f t="shared" si="0"/>
        <v>13</v>
      </c>
      <c r="B23" s="74">
        <f t="shared" si="1"/>
        <v>1.625</v>
      </c>
      <c r="C23" s="72">
        <f t="shared" si="2"/>
        <v>0</v>
      </c>
      <c r="D23" s="70">
        <f t="shared" si="7"/>
        <v>187.40266323024051</v>
      </c>
      <c r="E23" s="70">
        <f t="shared" si="8"/>
        <v>16.474959404856307</v>
      </c>
      <c r="F23" s="72">
        <f t="shared" si="9"/>
        <v>0.22000000000000003</v>
      </c>
      <c r="G23" s="70">
        <f t="shared" si="10"/>
        <v>16.474959404856307</v>
      </c>
      <c r="H23" s="72">
        <f t="shared" si="3"/>
        <v>16.474959404856307</v>
      </c>
      <c r="I23" s="73">
        <f t="shared" si="11"/>
        <v>7.5872721096450102E-7</v>
      </c>
      <c r="J23" s="80">
        <f t="shared" si="15"/>
        <v>1.045393666951586E-5</v>
      </c>
      <c r="K23" s="214">
        <f t="shared" si="12"/>
        <v>1.045393666951586E-2</v>
      </c>
      <c r="L23" s="164">
        <f t="shared" si="13"/>
        <v>1</v>
      </c>
      <c r="M23" s="71">
        <f t="shared" si="4"/>
        <v>82.374797024281534</v>
      </c>
      <c r="N23" s="71">
        <f t="shared" si="17"/>
        <v>1.4218750000000001E-4</v>
      </c>
      <c r="O23" s="71">
        <f t="shared" si="16"/>
        <v>187.40266323024048</v>
      </c>
      <c r="P23" s="71">
        <f t="shared" si="5"/>
        <v>3.1850000000000005</v>
      </c>
      <c r="Q23" s="71">
        <f t="shared" si="6"/>
        <v>1.8200000000000003</v>
      </c>
      <c r="X23" s="76"/>
      <c r="Y23" s="76"/>
    </row>
    <row r="24" spans="1:25" x14ac:dyDescent="0.2">
      <c r="A24" s="71">
        <f t="shared" si="0"/>
        <v>13</v>
      </c>
      <c r="B24" s="74">
        <f t="shared" si="1"/>
        <v>1.75</v>
      </c>
      <c r="C24" s="72">
        <f t="shared" si="2"/>
        <v>0</v>
      </c>
      <c r="D24" s="70">
        <f t="shared" si="7"/>
        <v>187.22766323024052</v>
      </c>
      <c r="E24" s="70">
        <f t="shared" si="8"/>
        <v>16.642458953799157</v>
      </c>
      <c r="F24" s="72">
        <f t="shared" si="9"/>
        <v>0.22000000000000003</v>
      </c>
      <c r="G24" s="70">
        <f t="shared" si="10"/>
        <v>16.642458953799157</v>
      </c>
      <c r="H24" s="72">
        <f t="shared" si="3"/>
        <v>16.642458953799157</v>
      </c>
      <c r="I24" s="73">
        <f t="shared" si="11"/>
        <v>7.5109093161659798E-7</v>
      </c>
      <c r="J24" s="80">
        <f t="shared" si="15"/>
        <v>1.1205027601132458E-5</v>
      </c>
      <c r="K24" s="214">
        <f t="shared" si="12"/>
        <v>1.1205027601132457E-2</v>
      </c>
      <c r="L24" s="164">
        <f t="shared" si="13"/>
        <v>1</v>
      </c>
      <c r="M24" s="71">
        <f t="shared" si="4"/>
        <v>83.21229476899579</v>
      </c>
      <c r="N24" s="71">
        <f t="shared" si="17"/>
        <v>1.4062500000000002E-4</v>
      </c>
      <c r="O24" s="71">
        <f t="shared" si="16"/>
        <v>187.22766323024052</v>
      </c>
      <c r="P24" s="71">
        <f t="shared" si="5"/>
        <v>3.1500000000000004</v>
      </c>
      <c r="Q24" s="71">
        <f t="shared" si="6"/>
        <v>1.8000000000000003</v>
      </c>
      <c r="X24" s="75" t="s">
        <v>161</v>
      </c>
      <c r="Y24" s="76">
        <f>SQRT(Y18^2+Y22^2)</f>
        <v>0.50990195135927852</v>
      </c>
    </row>
    <row r="25" spans="1:25" x14ac:dyDescent="0.2">
      <c r="A25" s="71">
        <f t="shared" si="0"/>
        <v>13</v>
      </c>
      <c r="B25" s="74">
        <f t="shared" si="1"/>
        <v>1.8749999999999998</v>
      </c>
      <c r="C25" s="72">
        <f t="shared" si="2"/>
        <v>0</v>
      </c>
      <c r="D25" s="70">
        <f t="shared" si="7"/>
        <v>187.05266323024051</v>
      </c>
      <c r="E25" s="70">
        <f t="shared" si="8"/>
        <v>16.666666666666668</v>
      </c>
      <c r="F25" s="72">
        <f t="shared" si="9"/>
        <v>0.22000000000000003</v>
      </c>
      <c r="G25" s="70">
        <f t="shared" si="10"/>
        <v>16.666666666666668</v>
      </c>
      <c r="H25" s="72">
        <f t="shared" si="3"/>
        <v>16.666666666666668</v>
      </c>
      <c r="I25" s="73">
        <f t="shared" si="11"/>
        <v>7.4999999999999864E-7</v>
      </c>
      <c r="J25" s="80">
        <f t="shared" si="15"/>
        <v>1.1955027601132456E-5</v>
      </c>
      <c r="K25" s="214">
        <f t="shared" si="12"/>
        <v>1.1955027601132456E-2</v>
      </c>
      <c r="L25" s="164">
        <f t="shared" si="13"/>
        <v>1</v>
      </c>
      <c r="M25" s="71">
        <f t="shared" si="4"/>
        <v>83.333333333333343</v>
      </c>
      <c r="N25" s="71">
        <f t="shared" si="17"/>
        <v>1.3906249999999975E-4</v>
      </c>
      <c r="O25" s="71">
        <f t="shared" si="16"/>
        <v>185.41666666666669</v>
      </c>
      <c r="P25" s="71">
        <f t="shared" si="5"/>
        <v>3.1150000000000002</v>
      </c>
      <c r="Q25" s="71">
        <f t="shared" si="6"/>
        <v>1.7800000000000002</v>
      </c>
    </row>
    <row r="26" spans="1:25" x14ac:dyDescent="0.2">
      <c r="A26" s="71">
        <f t="shared" si="0"/>
        <v>13</v>
      </c>
      <c r="B26" s="74">
        <f t="shared" si="1"/>
        <v>2</v>
      </c>
      <c r="C26" s="72">
        <f t="shared" si="2"/>
        <v>0</v>
      </c>
      <c r="D26" s="70">
        <f t="shared" si="7"/>
        <v>186.8776632302405</v>
      </c>
      <c r="E26" s="70">
        <f t="shared" si="8"/>
        <v>16.666666666666668</v>
      </c>
      <c r="F26" s="72">
        <f t="shared" si="9"/>
        <v>0.22000000000000003</v>
      </c>
      <c r="G26" s="70">
        <f t="shared" si="10"/>
        <v>16.666666666666668</v>
      </c>
      <c r="H26" s="72">
        <f t="shared" si="3"/>
        <v>16.666666666666668</v>
      </c>
      <c r="I26" s="73">
        <f t="shared" si="11"/>
        <v>7.5000000000000129E-7</v>
      </c>
      <c r="J26" s="80">
        <f t="shared" si="15"/>
        <v>1.2705027601132457E-5</v>
      </c>
      <c r="K26" s="214">
        <f t="shared" si="12"/>
        <v>1.2705027601132457E-2</v>
      </c>
      <c r="L26" s="164">
        <f t="shared" si="13"/>
        <v>1</v>
      </c>
      <c r="M26" s="71">
        <f t="shared" si="4"/>
        <v>83.333333333333343</v>
      </c>
      <c r="N26" s="71">
        <f t="shared" si="17"/>
        <v>1.3750000000000025E-4</v>
      </c>
      <c r="O26" s="71">
        <f t="shared" si="16"/>
        <v>183.33333333333334</v>
      </c>
      <c r="P26" s="71">
        <f t="shared" si="5"/>
        <v>3.08</v>
      </c>
      <c r="Q26" s="71">
        <f t="shared" si="6"/>
        <v>1.7600000000000002</v>
      </c>
    </row>
    <row r="27" spans="1:25" x14ac:dyDescent="0.2">
      <c r="A27" s="71">
        <f t="shared" si="0"/>
        <v>13</v>
      </c>
      <c r="B27" s="74">
        <f t="shared" si="1"/>
        <v>2.125</v>
      </c>
      <c r="C27" s="72">
        <f t="shared" si="2"/>
        <v>0</v>
      </c>
      <c r="D27" s="70">
        <f t="shared" si="7"/>
        <v>186.70266323024052</v>
      </c>
      <c r="E27" s="70">
        <f t="shared" si="8"/>
        <v>16.666666666666668</v>
      </c>
      <c r="F27" s="72">
        <f t="shared" si="9"/>
        <v>0.22000000000000003</v>
      </c>
      <c r="G27" s="70">
        <f t="shared" si="10"/>
        <v>16.666666666666668</v>
      </c>
      <c r="H27" s="72">
        <f t="shared" si="3"/>
        <v>16.666666666666668</v>
      </c>
      <c r="I27" s="73">
        <f t="shared" si="11"/>
        <v>7.5000000000000002E-7</v>
      </c>
      <c r="J27" s="80">
        <f t="shared" si="15"/>
        <v>1.3455027601132457E-5</v>
      </c>
      <c r="K27" s="214">
        <f t="shared" si="12"/>
        <v>1.3455027601132458E-2</v>
      </c>
      <c r="L27" s="164">
        <f t="shared" si="13"/>
        <v>1</v>
      </c>
      <c r="M27" s="71">
        <f t="shared" si="4"/>
        <v>83.333333333333343</v>
      </c>
      <c r="N27" s="71">
        <f t="shared" si="17"/>
        <v>1.3593750000000002E-4</v>
      </c>
      <c r="O27" s="71">
        <f t="shared" si="16"/>
        <v>181.25</v>
      </c>
      <c r="P27" s="71">
        <f t="shared" si="5"/>
        <v>3.0450000000000004</v>
      </c>
      <c r="Q27" s="71">
        <f t="shared" si="6"/>
        <v>1.7400000000000004</v>
      </c>
    </row>
    <row r="28" spans="1:25" x14ac:dyDescent="0.2">
      <c r="A28" s="71">
        <f t="shared" si="0"/>
        <v>13</v>
      </c>
      <c r="B28" s="74">
        <f t="shared" si="1"/>
        <v>2.25</v>
      </c>
      <c r="C28" s="72">
        <f t="shared" si="2"/>
        <v>0</v>
      </c>
      <c r="D28" s="70">
        <f t="shared" si="7"/>
        <v>186.52766323024051</v>
      </c>
      <c r="E28" s="70">
        <f t="shared" si="8"/>
        <v>16.666666666666668</v>
      </c>
      <c r="F28" s="72">
        <f t="shared" si="9"/>
        <v>0.22000000000000003</v>
      </c>
      <c r="G28" s="70">
        <f t="shared" si="10"/>
        <v>16.666666666666668</v>
      </c>
      <c r="H28" s="72">
        <f t="shared" si="3"/>
        <v>16.666666666666668</v>
      </c>
      <c r="I28" s="73">
        <f t="shared" si="11"/>
        <v>7.5000000000000002E-7</v>
      </c>
      <c r="J28" s="80">
        <f t="shared" si="15"/>
        <v>1.4205027601132456E-5</v>
      </c>
      <c r="K28" s="214">
        <f t="shared" si="12"/>
        <v>1.4205027601132457E-2</v>
      </c>
      <c r="L28" s="164">
        <f t="shared" si="13"/>
        <v>1</v>
      </c>
      <c r="M28" s="71">
        <f t="shared" si="4"/>
        <v>83.333333333333343</v>
      </c>
      <c r="N28" s="71">
        <f t="shared" si="17"/>
        <v>1.34375E-4</v>
      </c>
      <c r="O28" s="71">
        <f t="shared" si="16"/>
        <v>179.16666666666669</v>
      </c>
      <c r="P28" s="71">
        <f t="shared" si="5"/>
        <v>3.0100000000000002</v>
      </c>
      <c r="Q28" s="71">
        <f t="shared" si="6"/>
        <v>1.7200000000000004</v>
      </c>
    </row>
    <row r="29" spans="1:25" x14ac:dyDescent="0.2">
      <c r="A29" s="71">
        <f t="shared" si="0"/>
        <v>13</v>
      </c>
      <c r="B29" s="74">
        <f t="shared" si="1"/>
        <v>2.375</v>
      </c>
      <c r="C29" s="72">
        <f t="shared" si="2"/>
        <v>0</v>
      </c>
      <c r="D29" s="70">
        <f t="shared" si="7"/>
        <v>186.35266323024052</v>
      </c>
      <c r="E29" s="70">
        <f t="shared" si="8"/>
        <v>16.666666666666668</v>
      </c>
      <c r="F29" s="72">
        <f t="shared" si="9"/>
        <v>0.22000000000000003</v>
      </c>
      <c r="G29" s="70">
        <f t="shared" si="10"/>
        <v>16.666666666666668</v>
      </c>
      <c r="H29" s="72">
        <f t="shared" si="3"/>
        <v>16.666666666666668</v>
      </c>
      <c r="I29" s="73">
        <f t="shared" si="11"/>
        <v>7.5000000000000002E-7</v>
      </c>
      <c r="J29" s="80">
        <f t="shared" si="15"/>
        <v>1.4955027601132456E-5</v>
      </c>
      <c r="K29" s="214">
        <f t="shared" si="12"/>
        <v>1.4955027601132456E-2</v>
      </c>
      <c r="L29" s="164">
        <f t="shared" si="13"/>
        <v>1</v>
      </c>
      <c r="M29" s="71">
        <f t="shared" si="4"/>
        <v>83.333333333333343</v>
      </c>
      <c r="N29" s="71">
        <f t="shared" si="17"/>
        <v>1.3281250000000001E-4</v>
      </c>
      <c r="O29" s="71">
        <f t="shared" si="16"/>
        <v>177.08333333333334</v>
      </c>
      <c r="P29" s="71">
        <f t="shared" si="5"/>
        <v>2.9750000000000001</v>
      </c>
      <c r="Q29" s="71">
        <f t="shared" si="6"/>
        <v>1.7000000000000004</v>
      </c>
    </row>
    <row r="30" spans="1:25" x14ac:dyDescent="0.2">
      <c r="A30" s="71">
        <f t="shared" si="0"/>
        <v>13</v>
      </c>
      <c r="B30" s="74">
        <f t="shared" si="1"/>
        <v>2.5</v>
      </c>
      <c r="C30" s="72">
        <f t="shared" si="2"/>
        <v>0</v>
      </c>
      <c r="D30" s="70">
        <f t="shared" si="7"/>
        <v>186.17766323024051</v>
      </c>
      <c r="E30" s="70">
        <f t="shared" si="8"/>
        <v>16.666666666666668</v>
      </c>
      <c r="F30" s="72">
        <f t="shared" si="9"/>
        <v>0.22000000000000003</v>
      </c>
      <c r="G30" s="70">
        <f t="shared" si="10"/>
        <v>16.666666666666668</v>
      </c>
      <c r="H30" s="72">
        <f t="shared" si="3"/>
        <v>16.666666666666668</v>
      </c>
      <c r="I30" s="73">
        <f t="shared" si="11"/>
        <v>7.5000000000000002E-7</v>
      </c>
      <c r="J30" s="80">
        <f t="shared" si="15"/>
        <v>1.5705027601132456E-5</v>
      </c>
      <c r="K30" s="214">
        <f t="shared" si="12"/>
        <v>1.5705027601132456E-2</v>
      </c>
      <c r="L30" s="164">
        <f t="shared" si="13"/>
        <v>1</v>
      </c>
      <c r="M30" s="71">
        <f t="shared" si="4"/>
        <v>83.333333333333343</v>
      </c>
      <c r="N30" s="71">
        <f t="shared" si="17"/>
        <v>1.3125000000000002E-4</v>
      </c>
      <c r="O30" s="71">
        <f t="shared" si="16"/>
        <v>175</v>
      </c>
      <c r="P30" s="71">
        <f t="shared" si="5"/>
        <v>2.9400000000000004</v>
      </c>
      <c r="Q30" s="71">
        <f t="shared" si="6"/>
        <v>1.6800000000000004</v>
      </c>
    </row>
    <row r="31" spans="1:25" x14ac:dyDescent="0.2">
      <c r="A31" s="71">
        <f t="shared" si="0"/>
        <v>13</v>
      </c>
      <c r="B31" s="74">
        <f t="shared" si="1"/>
        <v>2.625</v>
      </c>
      <c r="C31" s="72">
        <f t="shared" si="2"/>
        <v>0</v>
      </c>
      <c r="D31" s="70">
        <f t="shared" si="7"/>
        <v>186.0026632302405</v>
      </c>
      <c r="E31" s="70">
        <f t="shared" si="8"/>
        <v>16.666666666666668</v>
      </c>
      <c r="F31" s="72">
        <f t="shared" si="9"/>
        <v>0.22000000000000003</v>
      </c>
      <c r="G31" s="70">
        <f t="shared" si="10"/>
        <v>16.666666666666668</v>
      </c>
      <c r="H31" s="72">
        <f t="shared" si="3"/>
        <v>16.666666666666668</v>
      </c>
      <c r="I31" s="73">
        <f t="shared" si="11"/>
        <v>7.5000000000000002E-7</v>
      </c>
      <c r="J31" s="80">
        <f t="shared" si="15"/>
        <v>1.6455027601132457E-5</v>
      </c>
      <c r="K31" s="214">
        <f t="shared" si="12"/>
        <v>1.6455027601132457E-2</v>
      </c>
      <c r="L31" s="164">
        <f t="shared" si="13"/>
        <v>1</v>
      </c>
      <c r="M31" s="71">
        <f t="shared" si="4"/>
        <v>83.333333333333343</v>
      </c>
      <c r="N31" s="71">
        <f t="shared" si="17"/>
        <v>1.296875E-4</v>
      </c>
      <c r="O31" s="71">
        <f t="shared" si="16"/>
        <v>172.91666666666669</v>
      </c>
      <c r="P31" s="71">
        <f t="shared" si="5"/>
        <v>2.9050000000000002</v>
      </c>
      <c r="Q31" s="71">
        <f t="shared" si="6"/>
        <v>1.6600000000000004</v>
      </c>
    </row>
    <row r="32" spans="1:25" x14ac:dyDescent="0.2">
      <c r="A32" s="71">
        <f t="shared" si="0"/>
        <v>13</v>
      </c>
      <c r="B32" s="74">
        <f t="shared" si="1"/>
        <v>2.75</v>
      </c>
      <c r="C32" s="72">
        <f t="shared" si="2"/>
        <v>0</v>
      </c>
      <c r="D32" s="70">
        <f t="shared" si="7"/>
        <v>185.82766323024052</v>
      </c>
      <c r="E32" s="70">
        <f t="shared" si="8"/>
        <v>16.666666666666668</v>
      </c>
      <c r="F32" s="72">
        <f t="shared" si="9"/>
        <v>0.22000000000000003</v>
      </c>
      <c r="G32" s="70">
        <f t="shared" si="10"/>
        <v>16.666666666666668</v>
      </c>
      <c r="H32" s="72">
        <f t="shared" si="3"/>
        <v>16.666666666666668</v>
      </c>
      <c r="I32" s="73">
        <f t="shared" si="11"/>
        <v>7.5000000000000002E-7</v>
      </c>
      <c r="J32" s="80">
        <f t="shared" si="15"/>
        <v>1.7205027601132458E-5</v>
      </c>
      <c r="K32" s="214">
        <f t="shared" si="12"/>
        <v>1.7205027601132458E-2</v>
      </c>
      <c r="L32" s="164">
        <f t="shared" si="13"/>
        <v>1</v>
      </c>
      <c r="M32" s="71">
        <f t="shared" si="4"/>
        <v>83.333333333333343</v>
      </c>
      <c r="N32" s="71">
        <f t="shared" si="17"/>
        <v>1.2812500000000001E-4</v>
      </c>
      <c r="O32" s="71">
        <f t="shared" si="16"/>
        <v>170.83333333333334</v>
      </c>
      <c r="P32" s="71">
        <f t="shared" si="5"/>
        <v>2.87</v>
      </c>
      <c r="Q32" s="71">
        <f t="shared" si="6"/>
        <v>1.6400000000000003</v>
      </c>
    </row>
    <row r="33" spans="1:17" x14ac:dyDescent="0.2">
      <c r="A33" s="71">
        <f t="shared" si="0"/>
        <v>13</v>
      </c>
      <c r="B33" s="74">
        <f t="shared" si="1"/>
        <v>2.875</v>
      </c>
      <c r="C33" s="72">
        <f t="shared" si="2"/>
        <v>0</v>
      </c>
      <c r="D33" s="70">
        <f t="shared" si="7"/>
        <v>185.65266323024051</v>
      </c>
      <c r="E33" s="70">
        <f t="shared" si="8"/>
        <v>16.666666666666668</v>
      </c>
      <c r="F33" s="72">
        <f t="shared" si="9"/>
        <v>0.22000000000000003</v>
      </c>
      <c r="G33" s="70">
        <f t="shared" si="10"/>
        <v>16.666666666666668</v>
      </c>
      <c r="H33" s="72">
        <f t="shared" si="3"/>
        <v>16.666666666666668</v>
      </c>
      <c r="I33" s="73">
        <f t="shared" si="11"/>
        <v>7.5000000000000002E-7</v>
      </c>
      <c r="J33" s="80">
        <f t="shared" si="15"/>
        <v>1.795502760113246E-5</v>
      </c>
      <c r="K33" s="214">
        <f t="shared" si="12"/>
        <v>1.7955027601132458E-2</v>
      </c>
      <c r="L33" s="164">
        <f t="shared" si="13"/>
        <v>1</v>
      </c>
      <c r="M33" s="71">
        <f t="shared" si="4"/>
        <v>83.333333333333343</v>
      </c>
      <c r="N33" s="71">
        <f t="shared" si="17"/>
        <v>1.2656249999999999E-4</v>
      </c>
      <c r="O33" s="71">
        <f t="shared" si="16"/>
        <v>168.75</v>
      </c>
      <c r="P33" s="71">
        <f t="shared" si="5"/>
        <v>2.8350000000000004</v>
      </c>
      <c r="Q33" s="71">
        <f t="shared" si="6"/>
        <v>1.6200000000000003</v>
      </c>
    </row>
    <row r="34" spans="1:17" x14ac:dyDescent="0.2">
      <c r="A34" s="71">
        <f t="shared" si="0"/>
        <v>13</v>
      </c>
      <c r="B34" s="74">
        <f t="shared" si="1"/>
        <v>3</v>
      </c>
      <c r="C34" s="72">
        <f t="shared" si="2"/>
        <v>0</v>
      </c>
      <c r="D34" s="70">
        <f t="shared" si="7"/>
        <v>185.47766323024052</v>
      </c>
      <c r="E34" s="70">
        <f t="shared" si="8"/>
        <v>16.666666666666668</v>
      </c>
      <c r="F34" s="72">
        <f t="shared" si="9"/>
        <v>0.22000000000000003</v>
      </c>
      <c r="G34" s="70">
        <f t="shared" si="10"/>
        <v>16.666666666666668</v>
      </c>
      <c r="H34" s="72">
        <f t="shared" si="3"/>
        <v>16.666666666666668</v>
      </c>
      <c r="I34" s="73">
        <f t="shared" si="11"/>
        <v>7.5000000000000002E-7</v>
      </c>
      <c r="J34" s="80">
        <f t="shared" si="15"/>
        <v>1.8705027601132461E-5</v>
      </c>
      <c r="K34" s="214">
        <f t="shared" si="12"/>
        <v>1.8705027601132462E-2</v>
      </c>
      <c r="L34" s="164">
        <f t="shared" si="13"/>
        <v>1</v>
      </c>
      <c r="M34" s="71">
        <f t="shared" si="4"/>
        <v>83.333333333333343</v>
      </c>
      <c r="N34" s="71">
        <f t="shared" si="17"/>
        <v>1.25E-4</v>
      </c>
      <c r="O34" s="71">
        <f t="shared" si="16"/>
        <v>166.66666666666669</v>
      </c>
      <c r="P34" s="71">
        <f t="shared" si="5"/>
        <v>2.8000000000000003</v>
      </c>
      <c r="Q34" s="71">
        <f t="shared" si="6"/>
        <v>1.6000000000000003</v>
      </c>
    </row>
    <row r="35" spans="1:17" x14ac:dyDescent="0.2">
      <c r="A35" s="71">
        <f t="shared" si="0"/>
        <v>13</v>
      </c>
      <c r="B35" s="74">
        <f t="shared" si="1"/>
        <v>3.125</v>
      </c>
      <c r="C35" s="72">
        <f t="shared" si="2"/>
        <v>0</v>
      </c>
      <c r="D35" s="70">
        <f t="shared" si="7"/>
        <v>185.30266323024051</v>
      </c>
      <c r="E35" s="70">
        <f t="shared" si="8"/>
        <v>16.666666666666668</v>
      </c>
      <c r="F35" s="72">
        <f t="shared" si="9"/>
        <v>0.22000000000000003</v>
      </c>
      <c r="G35" s="70">
        <f t="shared" si="10"/>
        <v>16.666666666666668</v>
      </c>
      <c r="H35" s="72">
        <f t="shared" si="3"/>
        <v>16.666666666666668</v>
      </c>
      <c r="I35" s="73">
        <f t="shared" si="11"/>
        <v>7.5000000000000002E-7</v>
      </c>
      <c r="J35" s="80">
        <f t="shared" si="15"/>
        <v>1.9455027601132462E-5</v>
      </c>
      <c r="K35" s="214">
        <f t="shared" si="12"/>
        <v>1.9455027601132463E-2</v>
      </c>
      <c r="L35" s="164">
        <f t="shared" si="13"/>
        <v>1</v>
      </c>
      <c r="M35" s="71">
        <f t="shared" si="4"/>
        <v>83.333333333333343</v>
      </c>
      <c r="N35" s="71">
        <f t="shared" si="17"/>
        <v>1.2343750000000001E-4</v>
      </c>
      <c r="O35" s="71">
        <f t="shared" si="16"/>
        <v>164.58333333333334</v>
      </c>
      <c r="P35" s="71">
        <f t="shared" si="5"/>
        <v>2.7650000000000001</v>
      </c>
      <c r="Q35" s="71">
        <f t="shared" si="6"/>
        <v>1.5800000000000003</v>
      </c>
    </row>
    <row r="36" spans="1:17" x14ac:dyDescent="0.2">
      <c r="A36" s="71">
        <f t="shared" si="0"/>
        <v>13</v>
      </c>
      <c r="B36" s="74">
        <f t="shared" si="1"/>
        <v>3.25</v>
      </c>
      <c r="C36" s="72">
        <f t="shared" si="2"/>
        <v>0</v>
      </c>
      <c r="D36" s="70">
        <f t="shared" si="7"/>
        <v>185.1276632302405</v>
      </c>
      <c r="E36" s="70">
        <f t="shared" si="8"/>
        <v>16.666666666666668</v>
      </c>
      <c r="F36" s="72">
        <f t="shared" si="9"/>
        <v>0.22000000000000003</v>
      </c>
      <c r="G36" s="70">
        <f t="shared" si="10"/>
        <v>16.666666666666668</v>
      </c>
      <c r="H36" s="72">
        <f t="shared" si="3"/>
        <v>16.666666666666668</v>
      </c>
      <c r="I36" s="73">
        <f t="shared" si="11"/>
        <v>7.5000000000000002E-7</v>
      </c>
      <c r="J36" s="80">
        <f t="shared" si="15"/>
        <v>2.0205027601132463E-5</v>
      </c>
      <c r="K36" s="214">
        <f t="shared" si="12"/>
        <v>2.0205027601132464E-2</v>
      </c>
      <c r="L36" s="164">
        <f t="shared" si="13"/>
        <v>1</v>
      </c>
      <c r="M36" s="71">
        <f t="shared" si="4"/>
        <v>83.333333333333343</v>
      </c>
      <c r="N36" s="71">
        <f t="shared" si="17"/>
        <v>1.2187500000000001E-4</v>
      </c>
      <c r="O36" s="71">
        <f t="shared" si="16"/>
        <v>162.5</v>
      </c>
      <c r="P36" s="71">
        <f t="shared" si="5"/>
        <v>2.7300000000000004</v>
      </c>
      <c r="Q36" s="71">
        <f t="shared" si="6"/>
        <v>1.5600000000000003</v>
      </c>
    </row>
    <row r="37" spans="1:17" x14ac:dyDescent="0.2">
      <c r="A37" s="71">
        <f t="shared" si="0"/>
        <v>13</v>
      </c>
      <c r="B37" s="74">
        <f t="shared" si="1"/>
        <v>3.3750000000000004</v>
      </c>
      <c r="C37" s="72">
        <f t="shared" si="2"/>
        <v>0</v>
      </c>
      <c r="D37" s="70">
        <f t="shared" si="7"/>
        <v>184.95266323024052</v>
      </c>
      <c r="E37" s="70">
        <f t="shared" si="8"/>
        <v>16.666666666666668</v>
      </c>
      <c r="F37" s="72">
        <f t="shared" si="9"/>
        <v>0.22000000000000003</v>
      </c>
      <c r="G37" s="70">
        <f t="shared" si="10"/>
        <v>16.666666666666668</v>
      </c>
      <c r="H37" s="72">
        <f t="shared" si="3"/>
        <v>16.666666666666668</v>
      </c>
      <c r="I37" s="73">
        <f t="shared" si="11"/>
        <v>7.5000000000000267E-7</v>
      </c>
      <c r="J37" s="80">
        <f t="shared" si="15"/>
        <v>2.0955027601132465E-5</v>
      </c>
      <c r="K37" s="214">
        <f t="shared" si="12"/>
        <v>2.0955027601132464E-2</v>
      </c>
      <c r="L37" s="164">
        <f t="shared" si="13"/>
        <v>1</v>
      </c>
      <c r="M37" s="71">
        <f t="shared" si="4"/>
        <v>83.333333333333343</v>
      </c>
      <c r="N37" s="71">
        <f t="shared" si="17"/>
        <v>1.2031250000000042E-4</v>
      </c>
      <c r="O37" s="71">
        <f t="shared" si="16"/>
        <v>160.41666666666669</v>
      </c>
      <c r="P37" s="71">
        <f t="shared" si="5"/>
        <v>2.6950000000000003</v>
      </c>
      <c r="Q37" s="71">
        <f t="shared" si="6"/>
        <v>1.5400000000000003</v>
      </c>
    </row>
    <row r="38" spans="1:17" x14ac:dyDescent="0.2">
      <c r="A38" s="71">
        <f t="shared" si="0"/>
        <v>13</v>
      </c>
      <c r="B38" s="74">
        <f t="shared" si="1"/>
        <v>3.5</v>
      </c>
      <c r="C38" s="72">
        <f t="shared" si="2"/>
        <v>0</v>
      </c>
      <c r="D38" s="70">
        <f t="shared" si="7"/>
        <v>184.77766323024051</v>
      </c>
      <c r="E38" s="70">
        <f t="shared" si="8"/>
        <v>16.666666666666668</v>
      </c>
      <c r="F38" s="72">
        <f t="shared" si="9"/>
        <v>0.22000000000000003</v>
      </c>
      <c r="G38" s="70">
        <f t="shared" si="10"/>
        <v>16.666666666666668</v>
      </c>
      <c r="H38" s="72">
        <f t="shared" si="3"/>
        <v>16.666666666666668</v>
      </c>
      <c r="I38" s="73">
        <f t="shared" si="11"/>
        <v>7.4999999999999737E-7</v>
      </c>
      <c r="J38" s="80">
        <f t="shared" si="15"/>
        <v>2.1705027601132463E-5</v>
      </c>
      <c r="K38" s="214">
        <f t="shared" si="12"/>
        <v>2.1705027601132462E-2</v>
      </c>
      <c r="L38" s="164">
        <f t="shared" si="13"/>
        <v>1</v>
      </c>
      <c r="M38" s="71">
        <f t="shared" si="4"/>
        <v>83.333333333333343</v>
      </c>
      <c r="N38" s="71">
        <f t="shared" si="17"/>
        <v>1.1874999999999959E-4</v>
      </c>
      <c r="O38" s="71">
        <f t="shared" si="16"/>
        <v>158.33333333333334</v>
      </c>
      <c r="P38" s="71">
        <f t="shared" si="5"/>
        <v>2.66</v>
      </c>
      <c r="Q38" s="71">
        <f t="shared" si="6"/>
        <v>1.5200000000000002</v>
      </c>
    </row>
    <row r="39" spans="1:17" x14ac:dyDescent="0.2">
      <c r="A39" s="71">
        <f t="shared" si="0"/>
        <v>13</v>
      </c>
      <c r="B39" s="74">
        <f t="shared" si="1"/>
        <v>3.625</v>
      </c>
      <c r="C39" s="72">
        <f t="shared" si="2"/>
        <v>0</v>
      </c>
      <c r="D39" s="70">
        <f t="shared" si="7"/>
        <v>184.60266323024052</v>
      </c>
      <c r="E39" s="70">
        <f t="shared" si="8"/>
        <v>16.666666666666668</v>
      </c>
      <c r="F39" s="72">
        <f t="shared" si="9"/>
        <v>0.22000000000000003</v>
      </c>
      <c r="G39" s="70">
        <f t="shared" si="10"/>
        <v>16.666666666666668</v>
      </c>
      <c r="H39" s="72">
        <f t="shared" si="3"/>
        <v>16.666666666666668</v>
      </c>
      <c r="I39" s="73">
        <f t="shared" si="11"/>
        <v>7.5000000000000002E-7</v>
      </c>
      <c r="J39" s="80">
        <f t="shared" si="15"/>
        <v>2.2455027601132464E-5</v>
      </c>
      <c r="K39" s="214">
        <f t="shared" si="12"/>
        <v>2.2455027601132462E-2</v>
      </c>
      <c r="L39" s="164">
        <f t="shared" si="13"/>
        <v>1</v>
      </c>
      <c r="M39" s="71">
        <f t="shared" si="4"/>
        <v>83.333333333333343</v>
      </c>
      <c r="N39" s="71">
        <f t="shared" si="17"/>
        <v>1.1718750000000001E-4</v>
      </c>
      <c r="O39" s="71">
        <f t="shared" si="16"/>
        <v>156.25</v>
      </c>
      <c r="P39" s="71">
        <f t="shared" si="5"/>
        <v>2.6250000000000004</v>
      </c>
      <c r="Q39" s="71">
        <f t="shared" si="6"/>
        <v>1.5000000000000002</v>
      </c>
    </row>
    <row r="40" spans="1:17" x14ac:dyDescent="0.2">
      <c r="A40" s="71">
        <f t="shared" si="0"/>
        <v>13</v>
      </c>
      <c r="B40" s="74">
        <f t="shared" si="1"/>
        <v>3.7499999999999996</v>
      </c>
      <c r="C40" s="72">
        <f t="shared" si="2"/>
        <v>0</v>
      </c>
      <c r="D40" s="70">
        <f t="shared" si="7"/>
        <v>184.42766323024051</v>
      </c>
      <c r="E40" s="70">
        <f t="shared" si="8"/>
        <v>16.666666666666668</v>
      </c>
      <c r="F40" s="72">
        <f t="shared" si="9"/>
        <v>0.22000000000000003</v>
      </c>
      <c r="G40" s="70">
        <f t="shared" si="10"/>
        <v>16.666666666666668</v>
      </c>
      <c r="H40" s="72">
        <f t="shared" si="3"/>
        <v>16.666666666666668</v>
      </c>
      <c r="I40" s="73">
        <f t="shared" si="11"/>
        <v>7.4999999999999737E-7</v>
      </c>
      <c r="J40" s="80">
        <f t="shared" si="15"/>
        <v>2.3205027601132462E-5</v>
      </c>
      <c r="K40" s="214">
        <f t="shared" si="12"/>
        <v>2.3205027601132463E-2</v>
      </c>
      <c r="L40" s="164">
        <f t="shared" si="13"/>
        <v>1</v>
      </c>
      <c r="M40" s="71">
        <f t="shared" si="4"/>
        <v>83.333333333333343</v>
      </c>
      <c r="N40" s="71">
        <f t="shared" si="17"/>
        <v>1.156249999999996E-4</v>
      </c>
      <c r="O40" s="71">
        <f t="shared" si="16"/>
        <v>154.16666666666669</v>
      </c>
      <c r="P40" s="71">
        <f t="shared" si="5"/>
        <v>2.5900000000000003</v>
      </c>
      <c r="Q40" s="71">
        <f t="shared" si="6"/>
        <v>1.4800000000000002</v>
      </c>
    </row>
    <row r="41" spans="1:17" x14ac:dyDescent="0.2">
      <c r="A41" s="71">
        <f t="shared" si="0"/>
        <v>13</v>
      </c>
      <c r="B41" s="74">
        <f t="shared" si="1"/>
        <v>3.875</v>
      </c>
      <c r="C41" s="72">
        <f t="shared" si="2"/>
        <v>0</v>
      </c>
      <c r="D41" s="70">
        <f t="shared" si="7"/>
        <v>184.2526632302405</v>
      </c>
      <c r="E41" s="70">
        <f t="shared" si="8"/>
        <v>16.666666666666668</v>
      </c>
      <c r="F41" s="72">
        <f t="shared" si="9"/>
        <v>0.22000000000000003</v>
      </c>
      <c r="G41" s="70">
        <f t="shared" si="10"/>
        <v>16.666666666666668</v>
      </c>
      <c r="H41" s="72">
        <f t="shared" si="3"/>
        <v>16.666666666666668</v>
      </c>
      <c r="I41" s="73">
        <f t="shared" si="11"/>
        <v>7.5000000000000267E-7</v>
      </c>
      <c r="J41" s="80">
        <f t="shared" si="15"/>
        <v>2.3955027601132463E-5</v>
      </c>
      <c r="K41" s="214">
        <f t="shared" si="12"/>
        <v>2.3955027601132464E-2</v>
      </c>
      <c r="L41" s="164">
        <f t="shared" si="13"/>
        <v>1</v>
      </c>
      <c r="M41" s="71">
        <f t="shared" si="4"/>
        <v>83.333333333333343</v>
      </c>
      <c r="N41" s="71">
        <f t="shared" si="17"/>
        <v>1.1406250000000041E-4</v>
      </c>
      <c r="O41" s="71">
        <f t="shared" si="16"/>
        <v>152.08333333333334</v>
      </c>
      <c r="P41" s="71">
        <f t="shared" si="5"/>
        <v>2.5550000000000002</v>
      </c>
      <c r="Q41" s="71">
        <f t="shared" si="6"/>
        <v>1.4600000000000002</v>
      </c>
    </row>
    <row r="42" spans="1:17" x14ac:dyDescent="0.2">
      <c r="A42" s="71">
        <f t="shared" ref="A42:A73" si="18">VINMAX</f>
        <v>13</v>
      </c>
      <c r="B42" s="74">
        <f t="shared" ref="B42:B73" si="19">VINMAX*((ROW()-10)/104)</f>
        <v>4</v>
      </c>
      <c r="C42" s="72">
        <f t="shared" ref="C42:C73" si="20">IF(B42&gt;=$H$2,IF($D$2="CC", $G$2, B42/$G$2), 0)</f>
        <v>0</v>
      </c>
      <c r="D42" s="70">
        <f t="shared" ref="D42:D73" si="21">$B$2-B42*$J$2/($I$2*0.001)</f>
        <v>184.07766323024052</v>
      </c>
      <c r="E42" s="70">
        <f t="shared" si="8"/>
        <v>16.666666666666668</v>
      </c>
      <c r="F42" s="72">
        <f t="shared" ref="F42:F73" si="22">I_Cout_ss+C42</f>
        <v>0.22000000000000003</v>
      </c>
      <c r="G42" s="70">
        <f t="shared" si="10"/>
        <v>16.666666666666668</v>
      </c>
      <c r="H42" s="72">
        <f t="shared" ref="H42:H73" si="23">G42-C42</f>
        <v>16.666666666666668</v>
      </c>
      <c r="I42" s="73">
        <f t="shared" si="11"/>
        <v>7.5000000000000002E-7</v>
      </c>
      <c r="J42" s="80">
        <f t="shared" si="15"/>
        <v>2.4705027601132464E-5</v>
      </c>
      <c r="K42" s="214">
        <f t="shared" si="12"/>
        <v>2.4705027601132464E-2</v>
      </c>
      <c r="L42" s="164">
        <f t="shared" si="13"/>
        <v>1</v>
      </c>
      <c r="M42" s="71">
        <f t="shared" ref="M42:M73" si="24">1/COUTMAX*(E42/2-C42)*1000</f>
        <v>83.333333333333343</v>
      </c>
      <c r="N42" s="71">
        <f t="shared" si="17"/>
        <v>1.1250000000000001E-4</v>
      </c>
      <c r="O42" s="71">
        <f t="shared" si="16"/>
        <v>150</v>
      </c>
      <c r="P42" s="71">
        <f t="shared" ref="P42:P73" si="25">(A42-B42)*(I_Cout_ss*$Q$2+C42)</f>
        <v>2.5200000000000005</v>
      </c>
      <c r="Q42" s="71">
        <f t="shared" ref="Q42:Q73" si="26">(A42-B42)*(I_Cout_ss*$R$2+C42)</f>
        <v>1.4400000000000004</v>
      </c>
    </row>
    <row r="43" spans="1:17" x14ac:dyDescent="0.2">
      <c r="A43" s="71">
        <f t="shared" si="18"/>
        <v>13</v>
      </c>
      <c r="B43" s="74">
        <f t="shared" si="19"/>
        <v>4.125</v>
      </c>
      <c r="C43" s="72">
        <f t="shared" si="20"/>
        <v>0</v>
      </c>
      <c r="D43" s="70">
        <f t="shared" si="21"/>
        <v>183.90266323024051</v>
      </c>
      <c r="E43" s="70">
        <f t="shared" si="8"/>
        <v>16.666666666666668</v>
      </c>
      <c r="F43" s="72">
        <f t="shared" si="22"/>
        <v>0.22000000000000003</v>
      </c>
      <c r="G43" s="70">
        <f t="shared" si="10"/>
        <v>16.666666666666668</v>
      </c>
      <c r="H43" s="72">
        <f t="shared" si="23"/>
        <v>16.666666666666668</v>
      </c>
      <c r="I43" s="73">
        <f t="shared" ref="I43:I74" si="27">(COUTMAX/1000000)*(B43-B42)/H43</f>
        <v>7.5000000000000002E-7</v>
      </c>
      <c r="J43" s="80">
        <f t="shared" si="15"/>
        <v>2.5455027601132466E-5</v>
      </c>
      <c r="K43" s="214">
        <f t="shared" si="12"/>
        <v>2.5455027601132465E-2</v>
      </c>
      <c r="L43" s="164">
        <f t="shared" si="13"/>
        <v>1</v>
      </c>
      <c r="M43" s="71">
        <f t="shared" si="24"/>
        <v>83.333333333333343</v>
      </c>
      <c r="N43" s="71">
        <f t="shared" si="17"/>
        <v>1.1093750000000001E-4</v>
      </c>
      <c r="O43" s="71">
        <f t="shared" si="16"/>
        <v>147.91666666666669</v>
      </c>
      <c r="P43" s="71">
        <f t="shared" si="25"/>
        <v>2.4850000000000003</v>
      </c>
      <c r="Q43" s="71">
        <f t="shared" si="26"/>
        <v>1.4200000000000004</v>
      </c>
    </row>
    <row r="44" spans="1:17" x14ac:dyDescent="0.2">
      <c r="A44" s="71">
        <f t="shared" si="18"/>
        <v>13</v>
      </c>
      <c r="B44" s="74">
        <f t="shared" si="19"/>
        <v>4.25</v>
      </c>
      <c r="C44" s="72">
        <f t="shared" si="20"/>
        <v>0</v>
      </c>
      <c r="D44" s="70">
        <f t="shared" si="21"/>
        <v>183.72766323024052</v>
      </c>
      <c r="E44" s="70">
        <f t="shared" si="8"/>
        <v>16.666666666666668</v>
      </c>
      <c r="F44" s="72">
        <f t="shared" si="22"/>
        <v>0.22000000000000003</v>
      </c>
      <c r="G44" s="70">
        <f t="shared" si="10"/>
        <v>16.666666666666668</v>
      </c>
      <c r="H44" s="72">
        <f t="shared" si="23"/>
        <v>16.666666666666668</v>
      </c>
      <c r="I44" s="73">
        <f t="shared" si="27"/>
        <v>7.5000000000000002E-7</v>
      </c>
      <c r="J44" s="80">
        <f t="shared" si="15"/>
        <v>2.6205027601132467E-5</v>
      </c>
      <c r="K44" s="214">
        <f t="shared" si="12"/>
        <v>2.6205027601132466E-2</v>
      </c>
      <c r="L44" s="164">
        <f t="shared" si="13"/>
        <v>1</v>
      </c>
      <c r="M44" s="71">
        <f t="shared" si="24"/>
        <v>83.333333333333343</v>
      </c>
      <c r="N44" s="71">
        <f t="shared" si="17"/>
        <v>1.09375E-4</v>
      </c>
      <c r="O44" s="71">
        <f t="shared" si="16"/>
        <v>145.83333333333334</v>
      </c>
      <c r="P44" s="71">
        <f t="shared" si="25"/>
        <v>2.4500000000000002</v>
      </c>
      <c r="Q44" s="71">
        <f t="shared" si="26"/>
        <v>1.4000000000000004</v>
      </c>
    </row>
    <row r="45" spans="1:17" x14ac:dyDescent="0.2">
      <c r="A45" s="71">
        <f t="shared" si="18"/>
        <v>13</v>
      </c>
      <c r="B45" s="74">
        <f t="shared" si="19"/>
        <v>4.375</v>
      </c>
      <c r="C45" s="72">
        <f t="shared" si="20"/>
        <v>0</v>
      </c>
      <c r="D45" s="70">
        <f t="shared" si="21"/>
        <v>183.55266323024051</v>
      </c>
      <c r="E45" s="70">
        <f t="shared" si="8"/>
        <v>16.666666666666668</v>
      </c>
      <c r="F45" s="72">
        <f t="shared" si="22"/>
        <v>0.22000000000000003</v>
      </c>
      <c r="G45" s="70">
        <f t="shared" si="10"/>
        <v>16.666666666666668</v>
      </c>
      <c r="H45" s="72">
        <f t="shared" si="23"/>
        <v>16.666666666666668</v>
      </c>
      <c r="I45" s="73">
        <f t="shared" si="27"/>
        <v>7.5000000000000002E-7</v>
      </c>
      <c r="J45" s="80">
        <f t="shared" si="15"/>
        <v>2.6955027601132468E-5</v>
      </c>
      <c r="K45" s="214">
        <f t="shared" si="12"/>
        <v>2.695502760113247E-2</v>
      </c>
      <c r="L45" s="164">
        <f t="shared" si="13"/>
        <v>1</v>
      </c>
      <c r="M45" s="71">
        <f t="shared" si="24"/>
        <v>83.333333333333343</v>
      </c>
      <c r="N45" s="71">
        <f t="shared" si="17"/>
        <v>1.0781250000000001E-4</v>
      </c>
      <c r="O45" s="71">
        <f t="shared" si="16"/>
        <v>143.75</v>
      </c>
      <c r="P45" s="71">
        <f t="shared" si="25"/>
        <v>2.415</v>
      </c>
      <c r="Q45" s="71">
        <f t="shared" si="26"/>
        <v>1.3800000000000003</v>
      </c>
    </row>
    <row r="46" spans="1:17" x14ac:dyDescent="0.2">
      <c r="A46" s="71">
        <f t="shared" si="18"/>
        <v>13</v>
      </c>
      <c r="B46" s="74">
        <f t="shared" si="19"/>
        <v>4.5</v>
      </c>
      <c r="C46" s="72">
        <f t="shared" si="20"/>
        <v>0</v>
      </c>
      <c r="D46" s="70">
        <f t="shared" si="21"/>
        <v>183.3776632302405</v>
      </c>
      <c r="E46" s="70">
        <f t="shared" si="8"/>
        <v>16.666666666666668</v>
      </c>
      <c r="F46" s="72">
        <f t="shared" si="22"/>
        <v>0.22000000000000003</v>
      </c>
      <c r="G46" s="70">
        <f t="shared" si="10"/>
        <v>16.666666666666668</v>
      </c>
      <c r="H46" s="72">
        <f t="shared" si="23"/>
        <v>16.666666666666668</v>
      </c>
      <c r="I46" s="73">
        <f t="shared" si="27"/>
        <v>7.5000000000000002E-7</v>
      </c>
      <c r="J46" s="80">
        <f t="shared" si="15"/>
        <v>2.770502760113247E-5</v>
      </c>
      <c r="K46" s="214">
        <f t="shared" si="12"/>
        <v>2.770502760113247E-2</v>
      </c>
      <c r="L46" s="164">
        <f t="shared" si="13"/>
        <v>1</v>
      </c>
      <c r="M46" s="71">
        <f t="shared" si="24"/>
        <v>83.333333333333343</v>
      </c>
      <c r="N46" s="71">
        <f t="shared" si="17"/>
        <v>1.0625000000000001E-4</v>
      </c>
      <c r="O46" s="71">
        <f t="shared" si="16"/>
        <v>141.66666666666669</v>
      </c>
      <c r="P46" s="71">
        <f t="shared" si="25"/>
        <v>2.3800000000000003</v>
      </c>
      <c r="Q46" s="71">
        <f t="shared" si="26"/>
        <v>1.3600000000000003</v>
      </c>
    </row>
    <row r="47" spans="1:17" x14ac:dyDescent="0.2">
      <c r="A47" s="71">
        <f t="shared" si="18"/>
        <v>13</v>
      </c>
      <c r="B47" s="74">
        <f t="shared" si="19"/>
        <v>4.625</v>
      </c>
      <c r="C47" s="72">
        <f t="shared" si="20"/>
        <v>0</v>
      </c>
      <c r="D47" s="70">
        <f t="shared" si="21"/>
        <v>183.20266323024052</v>
      </c>
      <c r="E47" s="70">
        <f t="shared" si="8"/>
        <v>16.666666666666668</v>
      </c>
      <c r="F47" s="72">
        <f t="shared" si="22"/>
        <v>0.22000000000000003</v>
      </c>
      <c r="G47" s="70">
        <f t="shared" si="10"/>
        <v>16.666666666666668</v>
      </c>
      <c r="H47" s="72">
        <f t="shared" si="23"/>
        <v>16.666666666666668</v>
      </c>
      <c r="I47" s="73">
        <f t="shared" si="27"/>
        <v>7.5000000000000002E-7</v>
      </c>
      <c r="J47" s="80">
        <f t="shared" si="15"/>
        <v>2.8455027601132471E-5</v>
      </c>
      <c r="K47" s="214">
        <f t="shared" si="12"/>
        <v>2.8455027601132471E-2</v>
      </c>
      <c r="L47" s="164">
        <f t="shared" si="13"/>
        <v>1</v>
      </c>
      <c r="M47" s="71">
        <f t="shared" si="24"/>
        <v>83.333333333333343</v>
      </c>
      <c r="N47" s="71">
        <f t="shared" si="17"/>
        <v>1.046875E-4</v>
      </c>
      <c r="O47" s="71">
        <f t="shared" si="16"/>
        <v>139.58333333333334</v>
      </c>
      <c r="P47" s="71">
        <f t="shared" si="25"/>
        <v>2.3450000000000002</v>
      </c>
      <c r="Q47" s="71">
        <f t="shared" si="26"/>
        <v>1.3400000000000003</v>
      </c>
    </row>
    <row r="48" spans="1:17" x14ac:dyDescent="0.2">
      <c r="A48" s="71">
        <f t="shared" si="18"/>
        <v>13</v>
      </c>
      <c r="B48" s="74">
        <f t="shared" si="19"/>
        <v>4.75</v>
      </c>
      <c r="C48" s="72">
        <f t="shared" si="20"/>
        <v>0</v>
      </c>
      <c r="D48" s="70">
        <f t="shared" si="21"/>
        <v>183.02766323024051</v>
      </c>
      <c r="E48" s="70">
        <f t="shared" si="8"/>
        <v>16.666666666666668</v>
      </c>
      <c r="F48" s="72">
        <f t="shared" si="22"/>
        <v>0.22000000000000003</v>
      </c>
      <c r="G48" s="70">
        <f t="shared" si="10"/>
        <v>16.666666666666668</v>
      </c>
      <c r="H48" s="72">
        <f t="shared" si="23"/>
        <v>16.666666666666668</v>
      </c>
      <c r="I48" s="73">
        <f t="shared" si="27"/>
        <v>7.5000000000000002E-7</v>
      </c>
      <c r="J48" s="80">
        <f t="shared" si="15"/>
        <v>2.9205027601132472E-5</v>
      </c>
      <c r="K48" s="214">
        <f t="shared" si="12"/>
        <v>2.9205027601132472E-2</v>
      </c>
      <c r="L48" s="164">
        <f t="shared" si="13"/>
        <v>1</v>
      </c>
      <c r="M48" s="71">
        <f t="shared" si="24"/>
        <v>83.333333333333343</v>
      </c>
      <c r="N48" s="71">
        <f t="shared" si="17"/>
        <v>1.03125E-4</v>
      </c>
      <c r="O48" s="71">
        <f t="shared" si="16"/>
        <v>137.5</v>
      </c>
      <c r="P48" s="71">
        <f t="shared" si="25"/>
        <v>2.31</v>
      </c>
      <c r="Q48" s="71">
        <f t="shared" si="26"/>
        <v>1.3200000000000003</v>
      </c>
    </row>
    <row r="49" spans="1:17" x14ac:dyDescent="0.2">
      <c r="A49" s="71">
        <f t="shared" si="18"/>
        <v>13</v>
      </c>
      <c r="B49" s="74">
        <f t="shared" si="19"/>
        <v>4.875</v>
      </c>
      <c r="C49" s="72">
        <f t="shared" si="20"/>
        <v>0</v>
      </c>
      <c r="D49" s="70">
        <f t="shared" si="21"/>
        <v>182.85266323024052</v>
      </c>
      <c r="E49" s="70">
        <f t="shared" si="8"/>
        <v>16.666666666666668</v>
      </c>
      <c r="F49" s="72">
        <f t="shared" si="22"/>
        <v>0.22000000000000003</v>
      </c>
      <c r="G49" s="70">
        <f t="shared" si="10"/>
        <v>16.666666666666668</v>
      </c>
      <c r="H49" s="72">
        <f t="shared" si="23"/>
        <v>16.666666666666668</v>
      </c>
      <c r="I49" s="73">
        <f t="shared" si="27"/>
        <v>7.5000000000000002E-7</v>
      </c>
      <c r="J49" s="80">
        <f t="shared" si="15"/>
        <v>2.9955027601132473E-5</v>
      </c>
      <c r="K49" s="214">
        <f t="shared" si="12"/>
        <v>2.9955027601132472E-2</v>
      </c>
      <c r="L49" s="164">
        <f t="shared" si="13"/>
        <v>1</v>
      </c>
      <c r="M49" s="71">
        <f t="shared" si="24"/>
        <v>83.333333333333343</v>
      </c>
      <c r="N49" s="71">
        <f t="shared" si="17"/>
        <v>1.0156250000000001E-4</v>
      </c>
      <c r="O49" s="71">
        <f t="shared" si="16"/>
        <v>135.41666666666669</v>
      </c>
      <c r="P49" s="71">
        <f t="shared" si="25"/>
        <v>2.2750000000000004</v>
      </c>
      <c r="Q49" s="71">
        <f t="shared" si="26"/>
        <v>1.3000000000000003</v>
      </c>
    </row>
    <row r="50" spans="1:17" x14ac:dyDescent="0.2">
      <c r="A50" s="71">
        <f t="shared" si="18"/>
        <v>13</v>
      </c>
      <c r="B50" s="74">
        <f t="shared" si="19"/>
        <v>5</v>
      </c>
      <c r="C50" s="72">
        <f t="shared" si="20"/>
        <v>0</v>
      </c>
      <c r="D50" s="70">
        <f t="shared" si="21"/>
        <v>182.67766323024051</v>
      </c>
      <c r="E50" s="70">
        <f t="shared" si="8"/>
        <v>16.666666666666668</v>
      </c>
      <c r="F50" s="72">
        <f t="shared" si="22"/>
        <v>0.22000000000000003</v>
      </c>
      <c r="G50" s="70">
        <f t="shared" si="10"/>
        <v>16.666666666666668</v>
      </c>
      <c r="H50" s="72">
        <f t="shared" si="23"/>
        <v>16.666666666666668</v>
      </c>
      <c r="I50" s="73">
        <f t="shared" si="27"/>
        <v>7.5000000000000002E-7</v>
      </c>
      <c r="J50" s="80">
        <f t="shared" si="15"/>
        <v>3.0705027601132471E-5</v>
      </c>
      <c r="K50" s="214">
        <f t="shared" si="12"/>
        <v>3.0705027601132473E-2</v>
      </c>
      <c r="L50" s="164">
        <f t="shared" si="13"/>
        <v>1</v>
      </c>
      <c r="M50" s="71">
        <f t="shared" si="24"/>
        <v>83.333333333333343</v>
      </c>
      <c r="N50" s="71">
        <f t="shared" si="17"/>
        <v>1E-4</v>
      </c>
      <c r="O50" s="71">
        <f t="shared" si="16"/>
        <v>133.33333333333334</v>
      </c>
      <c r="P50" s="71">
        <f t="shared" si="25"/>
        <v>2.2400000000000002</v>
      </c>
      <c r="Q50" s="71">
        <f t="shared" si="26"/>
        <v>1.2800000000000002</v>
      </c>
    </row>
    <row r="51" spans="1:17" x14ac:dyDescent="0.2">
      <c r="A51" s="71">
        <f t="shared" si="18"/>
        <v>13</v>
      </c>
      <c r="B51" s="74">
        <f t="shared" si="19"/>
        <v>5.125</v>
      </c>
      <c r="C51" s="72">
        <f t="shared" si="20"/>
        <v>0</v>
      </c>
      <c r="D51" s="70">
        <f t="shared" si="21"/>
        <v>182.5026632302405</v>
      </c>
      <c r="E51" s="70">
        <f t="shared" si="8"/>
        <v>16.666666666666668</v>
      </c>
      <c r="F51" s="72">
        <f t="shared" si="22"/>
        <v>0.22000000000000003</v>
      </c>
      <c r="G51" s="70">
        <f t="shared" si="10"/>
        <v>16.666666666666668</v>
      </c>
      <c r="H51" s="72">
        <f t="shared" si="23"/>
        <v>16.666666666666668</v>
      </c>
      <c r="I51" s="73">
        <f t="shared" si="27"/>
        <v>7.5000000000000002E-7</v>
      </c>
      <c r="J51" s="80">
        <f t="shared" si="15"/>
        <v>3.1455027601132469E-5</v>
      </c>
      <c r="K51" s="214">
        <f t="shared" si="12"/>
        <v>3.1455027601132467E-2</v>
      </c>
      <c r="L51" s="164">
        <f t="shared" si="13"/>
        <v>1</v>
      </c>
      <c r="M51" s="71">
        <f t="shared" si="24"/>
        <v>83.333333333333343</v>
      </c>
      <c r="N51" s="71">
        <f t="shared" si="17"/>
        <v>9.8437500000000001E-5</v>
      </c>
      <c r="O51" s="71">
        <f t="shared" si="16"/>
        <v>131.25</v>
      </c>
      <c r="P51" s="71">
        <f t="shared" si="25"/>
        <v>2.2050000000000001</v>
      </c>
      <c r="Q51" s="71">
        <f t="shared" si="26"/>
        <v>1.2600000000000002</v>
      </c>
    </row>
    <row r="52" spans="1:17" x14ac:dyDescent="0.2">
      <c r="A52" s="71">
        <f t="shared" si="18"/>
        <v>13</v>
      </c>
      <c r="B52" s="74">
        <f t="shared" si="19"/>
        <v>5.25</v>
      </c>
      <c r="C52" s="72">
        <f t="shared" si="20"/>
        <v>0</v>
      </c>
      <c r="D52" s="70">
        <f t="shared" si="21"/>
        <v>182.32766323024052</v>
      </c>
      <c r="E52" s="70">
        <f t="shared" si="8"/>
        <v>16.666666666666668</v>
      </c>
      <c r="F52" s="72">
        <f t="shared" si="22"/>
        <v>0.22000000000000003</v>
      </c>
      <c r="G52" s="70">
        <f t="shared" si="10"/>
        <v>16.666666666666668</v>
      </c>
      <c r="H52" s="72">
        <f t="shared" si="23"/>
        <v>16.666666666666668</v>
      </c>
      <c r="I52" s="73">
        <f t="shared" si="27"/>
        <v>7.5000000000000002E-7</v>
      </c>
      <c r="J52" s="80">
        <f t="shared" si="15"/>
        <v>3.2205027601132467E-5</v>
      </c>
      <c r="K52" s="214">
        <f t="shared" si="12"/>
        <v>3.2205027601132467E-2</v>
      </c>
      <c r="L52" s="164">
        <f t="shared" si="13"/>
        <v>1</v>
      </c>
      <c r="M52" s="71">
        <f t="shared" si="24"/>
        <v>83.333333333333343</v>
      </c>
      <c r="N52" s="71">
        <f t="shared" si="17"/>
        <v>9.687500000000001E-5</v>
      </c>
      <c r="O52" s="71">
        <f t="shared" si="16"/>
        <v>129.16666666666669</v>
      </c>
      <c r="P52" s="71">
        <f t="shared" si="25"/>
        <v>2.1700000000000004</v>
      </c>
      <c r="Q52" s="71">
        <f t="shared" si="26"/>
        <v>1.2400000000000002</v>
      </c>
    </row>
    <row r="53" spans="1:17" x14ac:dyDescent="0.2">
      <c r="A53" s="71">
        <f t="shared" si="18"/>
        <v>13</v>
      </c>
      <c r="B53" s="74">
        <f t="shared" si="19"/>
        <v>5.375</v>
      </c>
      <c r="C53" s="72">
        <f t="shared" si="20"/>
        <v>0</v>
      </c>
      <c r="D53" s="70">
        <f t="shared" si="21"/>
        <v>182.15266323024051</v>
      </c>
      <c r="E53" s="70">
        <f t="shared" si="8"/>
        <v>16.666666666666668</v>
      </c>
      <c r="F53" s="72">
        <f t="shared" si="22"/>
        <v>0.22000000000000003</v>
      </c>
      <c r="G53" s="70">
        <f t="shared" si="10"/>
        <v>16.666666666666668</v>
      </c>
      <c r="H53" s="72">
        <f t="shared" si="23"/>
        <v>16.666666666666668</v>
      </c>
      <c r="I53" s="73">
        <f t="shared" si="27"/>
        <v>7.5000000000000002E-7</v>
      </c>
      <c r="J53" s="80">
        <f t="shared" si="15"/>
        <v>3.2955027601132465E-5</v>
      </c>
      <c r="K53" s="214">
        <f t="shared" si="12"/>
        <v>3.2955027601132468E-2</v>
      </c>
      <c r="L53" s="164">
        <f t="shared" si="13"/>
        <v>1</v>
      </c>
      <c r="M53" s="71">
        <f t="shared" si="24"/>
        <v>83.333333333333343</v>
      </c>
      <c r="N53" s="71">
        <f t="shared" si="17"/>
        <v>9.5312500000000006E-5</v>
      </c>
      <c r="O53" s="71">
        <f t="shared" si="16"/>
        <v>127.08333333333334</v>
      </c>
      <c r="P53" s="71">
        <f t="shared" si="25"/>
        <v>2.1350000000000002</v>
      </c>
      <c r="Q53" s="71">
        <f t="shared" si="26"/>
        <v>1.2200000000000002</v>
      </c>
    </row>
    <row r="54" spans="1:17" x14ac:dyDescent="0.2">
      <c r="A54" s="71">
        <f t="shared" si="18"/>
        <v>13</v>
      </c>
      <c r="B54" s="74">
        <f t="shared" si="19"/>
        <v>5.5</v>
      </c>
      <c r="C54" s="72">
        <f t="shared" si="20"/>
        <v>0</v>
      </c>
      <c r="D54" s="70">
        <f t="shared" si="21"/>
        <v>181.97766323024052</v>
      </c>
      <c r="E54" s="70">
        <f t="shared" si="8"/>
        <v>16.666666666666668</v>
      </c>
      <c r="F54" s="72">
        <f t="shared" si="22"/>
        <v>0.22000000000000003</v>
      </c>
      <c r="G54" s="70">
        <f t="shared" si="10"/>
        <v>16.666666666666668</v>
      </c>
      <c r="H54" s="72">
        <f t="shared" si="23"/>
        <v>16.666666666666668</v>
      </c>
      <c r="I54" s="73">
        <f t="shared" si="27"/>
        <v>7.5000000000000002E-7</v>
      </c>
      <c r="J54" s="80">
        <f t="shared" si="15"/>
        <v>3.3705027601132463E-5</v>
      </c>
      <c r="K54" s="214">
        <f t="shared" si="12"/>
        <v>3.3705027601132462E-2</v>
      </c>
      <c r="L54" s="164">
        <f t="shared" si="13"/>
        <v>1</v>
      </c>
      <c r="M54" s="71">
        <f t="shared" si="24"/>
        <v>83.333333333333343</v>
      </c>
      <c r="N54" s="71">
        <f t="shared" si="17"/>
        <v>9.3750000000000002E-5</v>
      </c>
      <c r="O54" s="71">
        <f t="shared" si="16"/>
        <v>125.00000000000001</v>
      </c>
      <c r="P54" s="71">
        <f t="shared" si="25"/>
        <v>2.1</v>
      </c>
      <c r="Q54" s="71">
        <f t="shared" si="26"/>
        <v>1.2000000000000002</v>
      </c>
    </row>
    <row r="55" spans="1:17" x14ac:dyDescent="0.2">
      <c r="A55" s="71">
        <f t="shared" si="18"/>
        <v>13</v>
      </c>
      <c r="B55" s="74">
        <f t="shared" si="19"/>
        <v>5.625</v>
      </c>
      <c r="C55" s="72">
        <f t="shared" si="20"/>
        <v>0</v>
      </c>
      <c r="D55" s="70">
        <f t="shared" si="21"/>
        <v>181.80266323024051</v>
      </c>
      <c r="E55" s="70">
        <f t="shared" si="8"/>
        <v>16.666666666666668</v>
      </c>
      <c r="F55" s="72">
        <f t="shared" si="22"/>
        <v>0.22000000000000003</v>
      </c>
      <c r="G55" s="70">
        <f t="shared" si="10"/>
        <v>16.666666666666668</v>
      </c>
      <c r="H55" s="72">
        <f t="shared" si="23"/>
        <v>16.666666666666668</v>
      </c>
      <c r="I55" s="73">
        <f t="shared" si="27"/>
        <v>7.5000000000000002E-7</v>
      </c>
      <c r="J55" s="80">
        <f t="shared" si="15"/>
        <v>3.4455027601132461E-5</v>
      </c>
      <c r="K55" s="214">
        <f t="shared" si="12"/>
        <v>3.4455027601132462E-2</v>
      </c>
      <c r="L55" s="164">
        <f t="shared" si="13"/>
        <v>1</v>
      </c>
      <c r="M55" s="71">
        <f t="shared" si="24"/>
        <v>83.333333333333343</v>
      </c>
      <c r="N55" s="71">
        <f t="shared" si="17"/>
        <v>9.2187499999999998E-5</v>
      </c>
      <c r="O55" s="71">
        <f t="shared" si="16"/>
        <v>122.91666666666667</v>
      </c>
      <c r="P55" s="71">
        <f t="shared" si="25"/>
        <v>2.0650000000000004</v>
      </c>
      <c r="Q55" s="71">
        <f t="shared" si="26"/>
        <v>1.1800000000000002</v>
      </c>
    </row>
    <row r="56" spans="1:17" x14ac:dyDescent="0.2">
      <c r="A56" s="71">
        <f t="shared" si="18"/>
        <v>13</v>
      </c>
      <c r="B56" s="74">
        <f t="shared" si="19"/>
        <v>5.75</v>
      </c>
      <c r="C56" s="72">
        <f t="shared" si="20"/>
        <v>0</v>
      </c>
      <c r="D56" s="70">
        <f t="shared" si="21"/>
        <v>181.6276632302405</v>
      </c>
      <c r="E56" s="70">
        <f t="shared" si="8"/>
        <v>16.666666666666668</v>
      </c>
      <c r="F56" s="72">
        <f t="shared" si="22"/>
        <v>0.22000000000000003</v>
      </c>
      <c r="G56" s="70">
        <f t="shared" si="10"/>
        <v>16.666666666666668</v>
      </c>
      <c r="H56" s="72">
        <f t="shared" si="23"/>
        <v>16.666666666666668</v>
      </c>
      <c r="I56" s="73">
        <f t="shared" si="27"/>
        <v>7.5000000000000002E-7</v>
      </c>
      <c r="J56" s="80">
        <f t="shared" si="15"/>
        <v>3.5205027601132459E-5</v>
      </c>
      <c r="K56" s="214">
        <f t="shared" si="12"/>
        <v>3.5205027601132456E-2</v>
      </c>
      <c r="L56" s="164">
        <f t="shared" si="13"/>
        <v>1</v>
      </c>
      <c r="M56" s="71">
        <f t="shared" si="24"/>
        <v>83.333333333333343</v>
      </c>
      <c r="N56" s="71">
        <f t="shared" si="17"/>
        <v>9.0625000000000007E-5</v>
      </c>
      <c r="O56" s="71">
        <f t="shared" si="16"/>
        <v>120.83333333333334</v>
      </c>
      <c r="P56" s="71">
        <f t="shared" si="25"/>
        <v>2.0300000000000002</v>
      </c>
      <c r="Q56" s="71">
        <f t="shared" si="26"/>
        <v>1.1600000000000001</v>
      </c>
    </row>
    <row r="57" spans="1:17" x14ac:dyDescent="0.2">
      <c r="A57" s="71">
        <f t="shared" si="18"/>
        <v>13</v>
      </c>
      <c r="B57" s="74">
        <f t="shared" si="19"/>
        <v>5.875</v>
      </c>
      <c r="C57" s="72">
        <f t="shared" si="20"/>
        <v>0</v>
      </c>
      <c r="D57" s="70">
        <f t="shared" si="21"/>
        <v>181.45266323024052</v>
      </c>
      <c r="E57" s="70">
        <f t="shared" si="8"/>
        <v>16.666666666666668</v>
      </c>
      <c r="F57" s="72">
        <f t="shared" si="22"/>
        <v>0.22000000000000003</v>
      </c>
      <c r="G57" s="70">
        <f t="shared" si="10"/>
        <v>16.666666666666668</v>
      </c>
      <c r="H57" s="72">
        <f t="shared" si="23"/>
        <v>16.666666666666668</v>
      </c>
      <c r="I57" s="73">
        <f t="shared" si="27"/>
        <v>7.5000000000000002E-7</v>
      </c>
      <c r="J57" s="80">
        <f t="shared" si="15"/>
        <v>3.5955027601132457E-5</v>
      </c>
      <c r="K57" s="214">
        <f t="shared" si="12"/>
        <v>3.5955027601132457E-2</v>
      </c>
      <c r="L57" s="164">
        <f t="shared" si="13"/>
        <v>1</v>
      </c>
      <c r="M57" s="71">
        <f t="shared" si="24"/>
        <v>83.333333333333343</v>
      </c>
      <c r="N57" s="71">
        <f t="shared" si="17"/>
        <v>8.9062500000000003E-5</v>
      </c>
      <c r="O57" s="71">
        <f t="shared" si="16"/>
        <v>118.75000000000001</v>
      </c>
      <c r="P57" s="71">
        <f t="shared" si="25"/>
        <v>1.9950000000000001</v>
      </c>
      <c r="Q57" s="71">
        <f t="shared" si="26"/>
        <v>1.1400000000000001</v>
      </c>
    </row>
    <row r="58" spans="1:17" x14ac:dyDescent="0.2">
      <c r="A58" s="71">
        <f t="shared" si="18"/>
        <v>13</v>
      </c>
      <c r="B58" s="74">
        <f t="shared" si="19"/>
        <v>6</v>
      </c>
      <c r="C58" s="72">
        <f t="shared" si="20"/>
        <v>0</v>
      </c>
      <c r="D58" s="70">
        <f t="shared" si="21"/>
        <v>181.27766323024051</v>
      </c>
      <c r="E58" s="70">
        <f t="shared" si="8"/>
        <v>16.666666666666668</v>
      </c>
      <c r="F58" s="72">
        <f t="shared" si="22"/>
        <v>0.22000000000000003</v>
      </c>
      <c r="G58" s="70">
        <f t="shared" si="10"/>
        <v>16.666666666666668</v>
      </c>
      <c r="H58" s="72">
        <f t="shared" si="23"/>
        <v>16.666666666666668</v>
      </c>
      <c r="I58" s="73">
        <f t="shared" si="27"/>
        <v>7.5000000000000002E-7</v>
      </c>
      <c r="J58" s="80">
        <f t="shared" si="15"/>
        <v>3.6705027601132455E-5</v>
      </c>
      <c r="K58" s="214">
        <f t="shared" si="12"/>
        <v>3.6705027601132457E-2</v>
      </c>
      <c r="L58" s="164">
        <f t="shared" si="13"/>
        <v>1</v>
      </c>
      <c r="M58" s="71">
        <f t="shared" si="24"/>
        <v>83.333333333333343</v>
      </c>
      <c r="N58" s="71">
        <f t="shared" si="17"/>
        <v>8.7499999999999999E-5</v>
      </c>
      <c r="O58" s="71">
        <f t="shared" si="16"/>
        <v>116.66666666666667</v>
      </c>
      <c r="P58" s="71">
        <f t="shared" si="25"/>
        <v>1.9600000000000002</v>
      </c>
      <c r="Q58" s="71">
        <f t="shared" si="26"/>
        <v>1.1200000000000001</v>
      </c>
    </row>
    <row r="59" spans="1:17" x14ac:dyDescent="0.2">
      <c r="A59" s="71">
        <f t="shared" si="18"/>
        <v>13</v>
      </c>
      <c r="B59" s="74">
        <f t="shared" si="19"/>
        <v>6.125</v>
      </c>
      <c r="C59" s="72">
        <f t="shared" si="20"/>
        <v>0</v>
      </c>
      <c r="D59" s="70">
        <f t="shared" si="21"/>
        <v>181.10266323024052</v>
      </c>
      <c r="E59" s="70">
        <f t="shared" si="8"/>
        <v>16.666666666666668</v>
      </c>
      <c r="F59" s="72">
        <f t="shared" si="22"/>
        <v>0.22000000000000003</v>
      </c>
      <c r="G59" s="70">
        <f t="shared" si="10"/>
        <v>16.666666666666668</v>
      </c>
      <c r="H59" s="72">
        <f t="shared" si="23"/>
        <v>16.666666666666668</v>
      </c>
      <c r="I59" s="73">
        <f t="shared" si="27"/>
        <v>7.5000000000000002E-7</v>
      </c>
      <c r="J59" s="80">
        <f t="shared" si="15"/>
        <v>3.7455027601132452E-5</v>
      </c>
      <c r="K59" s="214">
        <f t="shared" si="12"/>
        <v>3.7455027601132451E-2</v>
      </c>
      <c r="L59" s="164">
        <f t="shared" si="13"/>
        <v>1</v>
      </c>
      <c r="M59" s="71">
        <f t="shared" si="24"/>
        <v>83.333333333333343</v>
      </c>
      <c r="N59" s="71">
        <f t="shared" si="17"/>
        <v>8.5937500000000009E-5</v>
      </c>
      <c r="O59" s="71">
        <f t="shared" si="16"/>
        <v>114.58333333333334</v>
      </c>
      <c r="P59" s="71">
        <f t="shared" si="25"/>
        <v>1.9250000000000003</v>
      </c>
      <c r="Q59" s="71">
        <f t="shared" si="26"/>
        <v>1.1000000000000003</v>
      </c>
    </row>
    <row r="60" spans="1:17" x14ac:dyDescent="0.2">
      <c r="A60" s="71">
        <f t="shared" si="18"/>
        <v>13</v>
      </c>
      <c r="B60" s="74">
        <f t="shared" si="19"/>
        <v>6.25</v>
      </c>
      <c r="C60" s="72">
        <f t="shared" si="20"/>
        <v>0</v>
      </c>
      <c r="D60" s="70">
        <f t="shared" si="21"/>
        <v>180.92766323024051</v>
      </c>
      <c r="E60" s="70">
        <f t="shared" si="8"/>
        <v>16.666666666666668</v>
      </c>
      <c r="F60" s="72">
        <f t="shared" si="22"/>
        <v>0.22000000000000003</v>
      </c>
      <c r="G60" s="70">
        <f t="shared" si="10"/>
        <v>16.666666666666668</v>
      </c>
      <c r="H60" s="72">
        <f t="shared" si="23"/>
        <v>16.666666666666668</v>
      </c>
      <c r="I60" s="73">
        <f t="shared" si="27"/>
        <v>7.5000000000000002E-7</v>
      </c>
      <c r="J60" s="80">
        <f t="shared" si="15"/>
        <v>3.820502760113245E-5</v>
      </c>
      <c r="K60" s="214">
        <f t="shared" si="12"/>
        <v>3.8205027601132452E-2</v>
      </c>
      <c r="L60" s="164">
        <f t="shared" si="13"/>
        <v>1</v>
      </c>
      <c r="M60" s="71">
        <f t="shared" si="24"/>
        <v>83.333333333333343</v>
      </c>
      <c r="N60" s="71">
        <f t="shared" si="17"/>
        <v>8.4375000000000004E-5</v>
      </c>
      <c r="O60" s="71">
        <f t="shared" si="16"/>
        <v>112.50000000000001</v>
      </c>
      <c r="P60" s="71">
        <f t="shared" si="25"/>
        <v>1.8900000000000001</v>
      </c>
      <c r="Q60" s="71">
        <f t="shared" si="26"/>
        <v>1.0800000000000003</v>
      </c>
    </row>
    <row r="61" spans="1:17" x14ac:dyDescent="0.2">
      <c r="A61" s="71">
        <f t="shared" si="18"/>
        <v>13</v>
      </c>
      <c r="B61" s="74">
        <f t="shared" si="19"/>
        <v>6.375</v>
      </c>
      <c r="C61" s="72">
        <f t="shared" si="20"/>
        <v>0</v>
      </c>
      <c r="D61" s="70">
        <f t="shared" si="21"/>
        <v>180.7526632302405</v>
      </c>
      <c r="E61" s="70">
        <f t="shared" si="8"/>
        <v>16.666666666666668</v>
      </c>
      <c r="F61" s="72">
        <f t="shared" si="22"/>
        <v>0.22000000000000003</v>
      </c>
      <c r="G61" s="70">
        <f t="shared" si="10"/>
        <v>16.666666666666668</v>
      </c>
      <c r="H61" s="72">
        <f t="shared" si="23"/>
        <v>16.666666666666668</v>
      </c>
      <c r="I61" s="73">
        <f t="shared" si="27"/>
        <v>7.5000000000000002E-7</v>
      </c>
      <c r="J61" s="80">
        <f t="shared" si="15"/>
        <v>3.8955027601132448E-5</v>
      </c>
      <c r="K61" s="214">
        <f t="shared" si="12"/>
        <v>3.8955027601132446E-2</v>
      </c>
      <c r="L61" s="164">
        <f t="shared" si="13"/>
        <v>1</v>
      </c>
      <c r="M61" s="71">
        <f t="shared" si="24"/>
        <v>83.333333333333343</v>
      </c>
      <c r="N61" s="71">
        <f>I61*G61*(A61-B61)</f>
        <v>8.28125E-5</v>
      </c>
      <c r="O61" s="71">
        <f t="shared" si="16"/>
        <v>110.41666666666667</v>
      </c>
      <c r="P61" s="71">
        <f t="shared" si="25"/>
        <v>1.8550000000000002</v>
      </c>
      <c r="Q61" s="71">
        <f t="shared" si="26"/>
        <v>1.0600000000000003</v>
      </c>
    </row>
    <row r="62" spans="1:17" x14ac:dyDescent="0.2">
      <c r="A62" s="71">
        <f t="shared" si="18"/>
        <v>13</v>
      </c>
      <c r="B62" s="74">
        <f t="shared" si="19"/>
        <v>6.5</v>
      </c>
      <c r="C62" s="72">
        <f t="shared" si="20"/>
        <v>0</v>
      </c>
      <c r="D62" s="70">
        <f t="shared" si="21"/>
        <v>180.57766323024052</v>
      </c>
      <c r="E62" s="70">
        <f t="shared" si="8"/>
        <v>16.666666666666668</v>
      </c>
      <c r="F62" s="72">
        <f t="shared" si="22"/>
        <v>0.22000000000000003</v>
      </c>
      <c r="G62" s="70">
        <f t="shared" si="10"/>
        <v>16.666666666666668</v>
      </c>
      <c r="H62" s="72">
        <f t="shared" si="23"/>
        <v>16.666666666666668</v>
      </c>
      <c r="I62" s="73">
        <f t="shared" si="27"/>
        <v>7.5000000000000002E-7</v>
      </c>
      <c r="J62" s="80">
        <f t="shared" si="15"/>
        <v>3.9705027601132446E-5</v>
      </c>
      <c r="K62" s="214">
        <f t="shared" si="12"/>
        <v>3.9705027601132446E-2</v>
      </c>
      <c r="L62" s="164">
        <f t="shared" si="13"/>
        <v>1</v>
      </c>
      <c r="M62" s="71">
        <f t="shared" si="24"/>
        <v>83.333333333333343</v>
      </c>
      <c r="N62" s="71">
        <f t="shared" si="17"/>
        <v>8.125000000000001E-5</v>
      </c>
      <c r="O62" s="71">
        <f t="shared" si="16"/>
        <v>108.33333333333334</v>
      </c>
      <c r="P62" s="71">
        <f t="shared" si="25"/>
        <v>1.8200000000000003</v>
      </c>
      <c r="Q62" s="71">
        <f t="shared" si="26"/>
        <v>1.0400000000000003</v>
      </c>
    </row>
    <row r="63" spans="1:17" x14ac:dyDescent="0.2">
      <c r="A63" s="71">
        <f t="shared" si="18"/>
        <v>13</v>
      </c>
      <c r="B63" s="74">
        <f t="shared" si="19"/>
        <v>6.625</v>
      </c>
      <c r="C63" s="72">
        <f t="shared" si="20"/>
        <v>0</v>
      </c>
      <c r="D63" s="70">
        <f t="shared" si="21"/>
        <v>180.40266323024051</v>
      </c>
      <c r="E63" s="70">
        <f t="shared" si="8"/>
        <v>16.666666666666668</v>
      </c>
      <c r="F63" s="72">
        <f t="shared" si="22"/>
        <v>0.22000000000000003</v>
      </c>
      <c r="G63" s="70">
        <f t="shared" si="10"/>
        <v>16.666666666666668</v>
      </c>
      <c r="H63" s="72">
        <f t="shared" si="23"/>
        <v>16.666666666666668</v>
      </c>
      <c r="I63" s="73">
        <f t="shared" si="27"/>
        <v>7.5000000000000002E-7</v>
      </c>
      <c r="J63" s="80">
        <f t="shared" si="15"/>
        <v>4.0455027601132444E-5</v>
      </c>
      <c r="K63" s="214">
        <f t="shared" si="12"/>
        <v>4.0455027601132447E-2</v>
      </c>
      <c r="L63" s="164">
        <f t="shared" si="13"/>
        <v>1</v>
      </c>
      <c r="M63" s="71">
        <f t="shared" si="24"/>
        <v>83.333333333333343</v>
      </c>
      <c r="N63" s="71">
        <f t="shared" si="17"/>
        <v>7.9687500000000006E-5</v>
      </c>
      <c r="O63" s="71">
        <f t="shared" si="16"/>
        <v>106.25000000000001</v>
      </c>
      <c r="P63" s="71">
        <f t="shared" si="25"/>
        <v>1.7850000000000001</v>
      </c>
      <c r="Q63" s="71">
        <f t="shared" si="26"/>
        <v>1.0200000000000002</v>
      </c>
    </row>
    <row r="64" spans="1:17" x14ac:dyDescent="0.2">
      <c r="A64" s="71">
        <f t="shared" si="18"/>
        <v>13</v>
      </c>
      <c r="B64" s="74">
        <f t="shared" si="19"/>
        <v>6.7500000000000009</v>
      </c>
      <c r="C64" s="72">
        <f t="shared" si="20"/>
        <v>0</v>
      </c>
      <c r="D64" s="70">
        <f t="shared" si="21"/>
        <v>180.22766323024052</v>
      </c>
      <c r="E64" s="70">
        <f t="shared" si="8"/>
        <v>16.666666666666668</v>
      </c>
      <c r="F64" s="72">
        <f t="shared" si="22"/>
        <v>0.22000000000000003</v>
      </c>
      <c r="G64" s="70">
        <f t="shared" si="10"/>
        <v>16.666666666666668</v>
      </c>
      <c r="H64" s="72">
        <f t="shared" si="23"/>
        <v>16.666666666666668</v>
      </c>
      <c r="I64" s="73">
        <f t="shared" si="27"/>
        <v>7.5000000000000531E-7</v>
      </c>
      <c r="J64" s="80">
        <f t="shared" si="15"/>
        <v>4.1205027601132449E-5</v>
      </c>
      <c r="K64" s="214">
        <f t="shared" si="12"/>
        <v>4.1205027601132448E-2</v>
      </c>
      <c r="L64" s="164">
        <f t="shared" si="13"/>
        <v>1</v>
      </c>
      <c r="M64" s="71">
        <f t="shared" si="24"/>
        <v>83.333333333333343</v>
      </c>
      <c r="N64" s="71">
        <f t="shared" si="17"/>
        <v>7.8125000000000544E-5</v>
      </c>
      <c r="O64" s="71">
        <f t="shared" si="16"/>
        <v>104.16666666666666</v>
      </c>
      <c r="P64" s="71">
        <f t="shared" si="25"/>
        <v>1.75</v>
      </c>
      <c r="Q64" s="71">
        <f t="shared" si="26"/>
        <v>1</v>
      </c>
    </row>
    <row r="65" spans="1:17" x14ac:dyDescent="0.2">
      <c r="A65" s="71">
        <f t="shared" si="18"/>
        <v>13</v>
      </c>
      <c r="B65" s="74">
        <f t="shared" si="19"/>
        <v>6.875</v>
      </c>
      <c r="C65" s="72">
        <f t="shared" si="20"/>
        <v>0</v>
      </c>
      <c r="D65" s="70">
        <f t="shared" si="21"/>
        <v>180.05266323024051</v>
      </c>
      <c r="E65" s="70">
        <f t="shared" si="8"/>
        <v>16.666666666666668</v>
      </c>
      <c r="F65" s="72">
        <f t="shared" si="22"/>
        <v>0.22000000000000003</v>
      </c>
      <c r="G65" s="70">
        <f t="shared" si="10"/>
        <v>16.666666666666668</v>
      </c>
      <c r="H65" s="72">
        <f t="shared" si="23"/>
        <v>16.666666666666668</v>
      </c>
      <c r="I65" s="73">
        <f t="shared" si="27"/>
        <v>7.4999999999999473E-7</v>
      </c>
      <c r="J65" s="80">
        <f t="shared" si="15"/>
        <v>4.1955027601132447E-5</v>
      </c>
      <c r="K65" s="214">
        <f t="shared" si="12"/>
        <v>4.1955027601132448E-2</v>
      </c>
      <c r="L65" s="164">
        <f t="shared" si="13"/>
        <v>1</v>
      </c>
      <c r="M65" s="71">
        <f t="shared" si="24"/>
        <v>83.333333333333343</v>
      </c>
      <c r="N65" s="71">
        <f t="shared" si="17"/>
        <v>7.6562499999999469E-5</v>
      </c>
      <c r="O65" s="71">
        <f t="shared" si="16"/>
        <v>102.08333333333334</v>
      </c>
      <c r="P65" s="71">
        <f t="shared" si="25"/>
        <v>1.7150000000000001</v>
      </c>
      <c r="Q65" s="71">
        <f t="shared" si="26"/>
        <v>0.9800000000000002</v>
      </c>
    </row>
    <row r="66" spans="1:17" x14ac:dyDescent="0.2">
      <c r="A66" s="71">
        <f t="shared" si="18"/>
        <v>13</v>
      </c>
      <c r="B66" s="74">
        <f t="shared" si="19"/>
        <v>7</v>
      </c>
      <c r="C66" s="72">
        <f t="shared" si="20"/>
        <v>0</v>
      </c>
      <c r="D66" s="70">
        <f t="shared" si="21"/>
        <v>179.8776632302405</v>
      </c>
      <c r="E66" s="70">
        <f t="shared" si="8"/>
        <v>16.666666666666668</v>
      </c>
      <c r="F66" s="72">
        <f t="shared" si="22"/>
        <v>0.22000000000000003</v>
      </c>
      <c r="G66" s="70">
        <f t="shared" si="10"/>
        <v>16.666666666666668</v>
      </c>
      <c r="H66" s="72">
        <f t="shared" si="23"/>
        <v>16.666666666666668</v>
      </c>
      <c r="I66" s="73">
        <f t="shared" si="27"/>
        <v>7.5000000000000002E-7</v>
      </c>
      <c r="J66" s="80">
        <f t="shared" si="15"/>
        <v>4.2705027601132444E-5</v>
      </c>
      <c r="K66" s="214">
        <f t="shared" si="12"/>
        <v>4.2705027601132442E-2</v>
      </c>
      <c r="L66" s="164">
        <f t="shared" si="13"/>
        <v>1</v>
      </c>
      <c r="M66" s="71">
        <f t="shared" si="24"/>
        <v>83.333333333333343</v>
      </c>
      <c r="N66" s="71">
        <f t="shared" si="17"/>
        <v>7.5000000000000007E-5</v>
      </c>
      <c r="O66" s="71">
        <f t="shared" si="16"/>
        <v>100</v>
      </c>
      <c r="P66" s="71">
        <f t="shared" si="25"/>
        <v>1.6800000000000002</v>
      </c>
      <c r="Q66" s="71">
        <f t="shared" si="26"/>
        <v>0.96000000000000019</v>
      </c>
    </row>
    <row r="67" spans="1:17" x14ac:dyDescent="0.2">
      <c r="A67" s="71">
        <f t="shared" si="18"/>
        <v>13</v>
      </c>
      <c r="B67" s="74">
        <f t="shared" si="19"/>
        <v>7.1250000000000009</v>
      </c>
      <c r="C67" s="72">
        <f t="shared" si="20"/>
        <v>0</v>
      </c>
      <c r="D67" s="70">
        <f t="shared" si="21"/>
        <v>179.70266323024052</v>
      </c>
      <c r="E67" s="70">
        <f t="shared" si="8"/>
        <v>16.666666666666668</v>
      </c>
      <c r="F67" s="72">
        <f t="shared" si="22"/>
        <v>0.22000000000000003</v>
      </c>
      <c r="G67" s="70">
        <f t="shared" si="10"/>
        <v>16.666666666666668</v>
      </c>
      <c r="H67" s="72">
        <f t="shared" si="23"/>
        <v>16.666666666666668</v>
      </c>
      <c r="I67" s="73">
        <f t="shared" si="27"/>
        <v>7.5000000000000531E-7</v>
      </c>
      <c r="J67" s="80">
        <f t="shared" si="15"/>
        <v>4.3455027601132449E-5</v>
      </c>
      <c r="K67" s="214">
        <f t="shared" si="12"/>
        <v>4.345502760113245E-2</v>
      </c>
      <c r="L67" s="164">
        <f t="shared" si="13"/>
        <v>1</v>
      </c>
      <c r="M67" s="71">
        <f t="shared" si="24"/>
        <v>83.333333333333343</v>
      </c>
      <c r="N67" s="71">
        <f t="shared" si="17"/>
        <v>7.3437500000000504E-5</v>
      </c>
      <c r="O67" s="71">
        <f t="shared" si="16"/>
        <v>97.916666666666657</v>
      </c>
      <c r="P67" s="71">
        <f t="shared" si="25"/>
        <v>1.645</v>
      </c>
      <c r="Q67" s="71">
        <f t="shared" si="26"/>
        <v>0.94000000000000006</v>
      </c>
    </row>
    <row r="68" spans="1:17" x14ac:dyDescent="0.2">
      <c r="A68" s="71">
        <f t="shared" si="18"/>
        <v>13</v>
      </c>
      <c r="B68" s="74">
        <f t="shared" si="19"/>
        <v>7.25</v>
      </c>
      <c r="C68" s="72">
        <f t="shared" si="20"/>
        <v>0</v>
      </c>
      <c r="D68" s="70">
        <f t="shared" si="21"/>
        <v>179.52766323024051</v>
      </c>
      <c r="E68" s="70">
        <f t="shared" si="8"/>
        <v>16.666666666666668</v>
      </c>
      <c r="F68" s="72">
        <f t="shared" si="22"/>
        <v>0.22000000000000003</v>
      </c>
      <c r="G68" s="70">
        <f t="shared" si="10"/>
        <v>16.666666666666668</v>
      </c>
      <c r="H68" s="72">
        <f t="shared" si="23"/>
        <v>16.666666666666668</v>
      </c>
      <c r="I68" s="73">
        <f t="shared" si="27"/>
        <v>7.4999999999999473E-7</v>
      </c>
      <c r="J68" s="80">
        <f t="shared" si="15"/>
        <v>4.4205027601132447E-5</v>
      </c>
      <c r="K68" s="214">
        <f t="shared" si="12"/>
        <v>4.420502760113245E-2</v>
      </c>
      <c r="L68" s="164">
        <f t="shared" si="13"/>
        <v>1</v>
      </c>
      <c r="M68" s="71">
        <f t="shared" si="24"/>
        <v>83.333333333333343</v>
      </c>
      <c r="N68" s="71">
        <f t="shared" si="17"/>
        <v>7.1874999999999497E-5</v>
      </c>
      <c r="O68" s="71">
        <f t="shared" si="16"/>
        <v>95.833333333333343</v>
      </c>
      <c r="P68" s="71">
        <f t="shared" si="25"/>
        <v>1.61</v>
      </c>
      <c r="Q68" s="71">
        <f t="shared" si="26"/>
        <v>0.92000000000000015</v>
      </c>
    </row>
    <row r="69" spans="1:17" x14ac:dyDescent="0.2">
      <c r="A69" s="71">
        <f t="shared" si="18"/>
        <v>13</v>
      </c>
      <c r="B69" s="74">
        <f t="shared" si="19"/>
        <v>7.375</v>
      </c>
      <c r="C69" s="72">
        <f t="shared" si="20"/>
        <v>0</v>
      </c>
      <c r="D69" s="70">
        <f t="shared" si="21"/>
        <v>179.35266323024052</v>
      </c>
      <c r="E69" s="70">
        <f t="shared" si="8"/>
        <v>16.666666666666668</v>
      </c>
      <c r="F69" s="72">
        <f t="shared" si="22"/>
        <v>0.22000000000000003</v>
      </c>
      <c r="G69" s="70">
        <f t="shared" si="10"/>
        <v>16.666666666666668</v>
      </c>
      <c r="H69" s="72">
        <f t="shared" si="23"/>
        <v>16.666666666666668</v>
      </c>
      <c r="I69" s="73">
        <f t="shared" si="27"/>
        <v>7.5000000000000002E-7</v>
      </c>
      <c r="J69" s="80">
        <f t="shared" si="15"/>
        <v>4.4955027601132445E-5</v>
      </c>
      <c r="K69" s="214">
        <f t="shared" si="12"/>
        <v>4.4955027601132444E-2</v>
      </c>
      <c r="L69" s="164">
        <f t="shared" si="13"/>
        <v>1</v>
      </c>
      <c r="M69" s="71">
        <f t="shared" si="24"/>
        <v>83.333333333333343</v>
      </c>
      <c r="N69" s="71">
        <f t="shared" si="17"/>
        <v>7.0312500000000008E-5</v>
      </c>
      <c r="O69" s="71">
        <f t="shared" si="16"/>
        <v>93.75</v>
      </c>
      <c r="P69" s="71">
        <f t="shared" si="25"/>
        <v>1.5750000000000002</v>
      </c>
      <c r="Q69" s="71">
        <f t="shared" si="26"/>
        <v>0.90000000000000013</v>
      </c>
    </row>
    <row r="70" spans="1:17" x14ac:dyDescent="0.2">
      <c r="A70" s="71">
        <f t="shared" si="18"/>
        <v>13</v>
      </c>
      <c r="B70" s="74">
        <f t="shared" si="19"/>
        <v>7.4999999999999991</v>
      </c>
      <c r="C70" s="72">
        <f t="shared" si="20"/>
        <v>0</v>
      </c>
      <c r="D70" s="70">
        <f t="shared" si="21"/>
        <v>179.17766323024051</v>
      </c>
      <c r="E70" s="70">
        <f t="shared" si="8"/>
        <v>16.666666666666668</v>
      </c>
      <c r="F70" s="72">
        <f t="shared" si="22"/>
        <v>0.22000000000000003</v>
      </c>
      <c r="G70" s="70">
        <f t="shared" si="10"/>
        <v>16.666666666666668</v>
      </c>
      <c r="H70" s="72">
        <f t="shared" si="23"/>
        <v>16.666666666666668</v>
      </c>
      <c r="I70" s="73">
        <f t="shared" si="27"/>
        <v>7.4999999999999473E-7</v>
      </c>
      <c r="J70" s="80">
        <f t="shared" si="15"/>
        <v>4.5705027601132443E-5</v>
      </c>
      <c r="K70" s="214">
        <f t="shared" si="12"/>
        <v>4.5705027601132445E-2</v>
      </c>
      <c r="L70" s="164">
        <f t="shared" si="13"/>
        <v>1</v>
      </c>
      <c r="M70" s="71">
        <f t="shared" si="24"/>
        <v>83.333333333333343</v>
      </c>
      <c r="N70" s="71">
        <f t="shared" si="17"/>
        <v>6.874999999999953E-5</v>
      </c>
      <c r="O70" s="71">
        <f t="shared" si="16"/>
        <v>91.666666666666686</v>
      </c>
      <c r="P70" s="71">
        <f t="shared" si="25"/>
        <v>1.5400000000000005</v>
      </c>
      <c r="Q70" s="71">
        <f t="shared" si="26"/>
        <v>0.88000000000000034</v>
      </c>
    </row>
    <row r="71" spans="1:17" x14ac:dyDescent="0.2">
      <c r="A71" s="71">
        <f t="shared" si="18"/>
        <v>13</v>
      </c>
      <c r="B71" s="74">
        <f t="shared" si="19"/>
        <v>7.625</v>
      </c>
      <c r="C71" s="72">
        <f t="shared" si="20"/>
        <v>0</v>
      </c>
      <c r="D71" s="70">
        <f t="shared" si="21"/>
        <v>179.0026632302405</v>
      </c>
      <c r="E71" s="70">
        <f t="shared" si="8"/>
        <v>16.666666666666668</v>
      </c>
      <c r="F71" s="72">
        <f t="shared" si="22"/>
        <v>0.22000000000000003</v>
      </c>
      <c r="G71" s="70">
        <f t="shared" si="10"/>
        <v>16.666666666666668</v>
      </c>
      <c r="H71" s="72">
        <f t="shared" si="23"/>
        <v>16.666666666666668</v>
      </c>
      <c r="I71" s="73">
        <f t="shared" si="27"/>
        <v>7.5000000000000531E-7</v>
      </c>
      <c r="J71" s="80">
        <f t="shared" si="15"/>
        <v>4.6455027601132448E-5</v>
      </c>
      <c r="K71" s="214">
        <f t="shared" si="12"/>
        <v>4.6455027601132445E-2</v>
      </c>
      <c r="L71" s="164">
        <f t="shared" si="13"/>
        <v>1</v>
      </c>
      <c r="M71" s="71">
        <f t="shared" si="24"/>
        <v>83.333333333333343</v>
      </c>
      <c r="N71" s="71">
        <f t="shared" si="17"/>
        <v>6.7187500000000474E-5</v>
      </c>
      <c r="O71" s="71">
        <f t="shared" si="16"/>
        <v>89.583333333333343</v>
      </c>
      <c r="P71" s="71">
        <f t="shared" si="25"/>
        <v>1.5050000000000001</v>
      </c>
      <c r="Q71" s="71">
        <f t="shared" si="26"/>
        <v>0.86000000000000021</v>
      </c>
    </row>
    <row r="72" spans="1:17" x14ac:dyDescent="0.2">
      <c r="A72" s="71">
        <f t="shared" si="18"/>
        <v>13</v>
      </c>
      <c r="B72" s="74">
        <f t="shared" si="19"/>
        <v>7.75</v>
      </c>
      <c r="C72" s="72">
        <f t="shared" si="20"/>
        <v>0</v>
      </c>
      <c r="D72" s="70">
        <f t="shared" si="21"/>
        <v>178.82766323024052</v>
      </c>
      <c r="E72" s="70">
        <f t="shared" si="8"/>
        <v>16.666666666666668</v>
      </c>
      <c r="F72" s="72">
        <f t="shared" si="22"/>
        <v>0.22000000000000003</v>
      </c>
      <c r="G72" s="70">
        <f t="shared" si="10"/>
        <v>16.666666666666668</v>
      </c>
      <c r="H72" s="72">
        <f t="shared" si="23"/>
        <v>16.666666666666668</v>
      </c>
      <c r="I72" s="73">
        <f t="shared" si="27"/>
        <v>7.5000000000000002E-7</v>
      </c>
      <c r="J72" s="80">
        <f t="shared" si="15"/>
        <v>4.7205027601132445E-5</v>
      </c>
      <c r="K72" s="214">
        <f t="shared" si="12"/>
        <v>4.7205027601132446E-2</v>
      </c>
      <c r="L72" s="164">
        <f t="shared" si="13"/>
        <v>1</v>
      </c>
      <c r="M72" s="71">
        <f t="shared" si="24"/>
        <v>83.333333333333343</v>
      </c>
      <c r="N72" s="71">
        <f t="shared" si="17"/>
        <v>6.5625000000000009E-5</v>
      </c>
      <c r="O72" s="71">
        <f t="shared" si="16"/>
        <v>87.5</v>
      </c>
      <c r="P72" s="71">
        <f t="shared" si="25"/>
        <v>1.4700000000000002</v>
      </c>
      <c r="Q72" s="71">
        <f t="shared" si="26"/>
        <v>0.84000000000000019</v>
      </c>
    </row>
    <row r="73" spans="1:17" x14ac:dyDescent="0.2">
      <c r="A73" s="71">
        <f t="shared" si="18"/>
        <v>13</v>
      </c>
      <c r="B73" s="74">
        <f t="shared" si="19"/>
        <v>7.8749999999999991</v>
      </c>
      <c r="C73" s="72">
        <f t="shared" si="20"/>
        <v>0</v>
      </c>
      <c r="D73" s="70">
        <f t="shared" si="21"/>
        <v>178.65266323024051</v>
      </c>
      <c r="E73" s="70">
        <f t="shared" si="8"/>
        <v>16.666666666666668</v>
      </c>
      <c r="F73" s="72">
        <f t="shared" si="22"/>
        <v>0.22000000000000003</v>
      </c>
      <c r="G73" s="70">
        <f t="shared" si="10"/>
        <v>16.666666666666668</v>
      </c>
      <c r="H73" s="72">
        <f t="shared" si="23"/>
        <v>16.666666666666668</v>
      </c>
      <c r="I73" s="73">
        <f t="shared" si="27"/>
        <v>7.4999999999999473E-7</v>
      </c>
      <c r="J73" s="80">
        <f t="shared" si="15"/>
        <v>4.7955027601132443E-5</v>
      </c>
      <c r="K73" s="214">
        <f t="shared" si="12"/>
        <v>4.7955027601132447E-2</v>
      </c>
      <c r="L73" s="164">
        <f t="shared" si="13"/>
        <v>1</v>
      </c>
      <c r="M73" s="71">
        <f t="shared" si="24"/>
        <v>83.333333333333343</v>
      </c>
      <c r="N73" s="71">
        <f t="shared" si="17"/>
        <v>6.4062499999999558E-5</v>
      </c>
      <c r="O73" s="71">
        <f t="shared" si="16"/>
        <v>85.416666666666686</v>
      </c>
      <c r="P73" s="71">
        <f t="shared" si="25"/>
        <v>1.4350000000000003</v>
      </c>
      <c r="Q73" s="71">
        <f t="shared" si="26"/>
        <v>0.82000000000000028</v>
      </c>
    </row>
    <row r="74" spans="1:17" x14ac:dyDescent="0.2">
      <c r="A74" s="71">
        <f t="shared" ref="A74:A105" si="28">VINMAX</f>
        <v>13</v>
      </c>
      <c r="B74" s="74">
        <f t="shared" ref="B74:B105" si="29">VINMAX*((ROW()-10)/104)</f>
        <v>8</v>
      </c>
      <c r="C74" s="72">
        <f t="shared" ref="C74:C105" si="30">IF(B74&gt;=$H$2,IF($D$2="CC", $G$2, B74/$G$2), 0)</f>
        <v>0</v>
      </c>
      <c r="D74" s="70">
        <f t="shared" ref="D74:D105" si="31">$B$2-B74*$J$2/($I$2*0.001)</f>
        <v>178.47766323024052</v>
      </c>
      <c r="E74" s="70">
        <f t="shared" si="8"/>
        <v>16.666666666666668</v>
      </c>
      <c r="F74" s="72">
        <f t="shared" ref="F74:F105" si="32">I_Cout_ss+C74</f>
        <v>0.22000000000000003</v>
      </c>
      <c r="G74" s="70">
        <f t="shared" si="10"/>
        <v>16.666666666666668</v>
      </c>
      <c r="H74" s="72">
        <f t="shared" ref="H74:H105" si="33">G74-C74</f>
        <v>16.666666666666668</v>
      </c>
      <c r="I74" s="73">
        <f t="shared" si="27"/>
        <v>7.5000000000000531E-7</v>
      </c>
      <c r="J74" s="80">
        <f t="shared" si="15"/>
        <v>4.8705027601132448E-5</v>
      </c>
      <c r="K74" s="214">
        <f t="shared" si="12"/>
        <v>4.8705027601132447E-2</v>
      </c>
      <c r="L74" s="164">
        <f t="shared" si="13"/>
        <v>1</v>
      </c>
      <c r="M74" s="71">
        <f t="shared" ref="M74:M105" si="34">1/COUTMAX*(E74/2-C74)*1000</f>
        <v>83.333333333333343</v>
      </c>
      <c r="N74" s="71">
        <f t="shared" si="17"/>
        <v>6.2500000000000449E-5</v>
      </c>
      <c r="O74" s="71">
        <f t="shared" si="16"/>
        <v>83.333333333333343</v>
      </c>
      <c r="P74" s="71">
        <f t="shared" ref="P74:P105" si="35">(A74-B74)*(I_Cout_ss*$Q$2+C74)</f>
        <v>1.4000000000000001</v>
      </c>
      <c r="Q74" s="71">
        <f t="shared" ref="Q74:Q105" si="36">(A74-B74)*(I_Cout_ss*$R$2+C74)</f>
        <v>0.80000000000000016</v>
      </c>
    </row>
    <row r="75" spans="1:17" x14ac:dyDescent="0.2">
      <c r="A75" s="71">
        <f t="shared" si="28"/>
        <v>13</v>
      </c>
      <c r="B75" s="74">
        <f t="shared" si="29"/>
        <v>8.125</v>
      </c>
      <c r="C75" s="72">
        <f t="shared" si="30"/>
        <v>0</v>
      </c>
      <c r="D75" s="70">
        <f t="shared" si="31"/>
        <v>178.30266323024051</v>
      </c>
      <c r="E75" s="70">
        <f t="shared" ref="E75:E110" si="37">MIN(D75/(A75-B75),$C$2)</f>
        <v>16.666666666666668</v>
      </c>
      <c r="F75" s="72">
        <f t="shared" si="32"/>
        <v>0.22000000000000003</v>
      </c>
      <c r="G75" s="70">
        <f t="shared" ref="G75:G110" si="38">IF($F$2="YES", F75, E75)</f>
        <v>16.666666666666668</v>
      </c>
      <c r="H75" s="72">
        <f t="shared" si="33"/>
        <v>16.666666666666668</v>
      </c>
      <c r="I75" s="73">
        <f t="shared" ref="I75:I106" si="39">(COUTMAX/1000000)*(B75-B74)/H75</f>
        <v>7.5000000000000002E-7</v>
      </c>
      <c r="J75" s="80">
        <f t="shared" si="15"/>
        <v>4.9455027601132446E-5</v>
      </c>
      <c r="K75" s="214">
        <f t="shared" ref="K75:K114" si="40">J75*1000</f>
        <v>4.9455027601132448E-2</v>
      </c>
      <c r="L75" s="164">
        <f t="shared" ref="L75:L110" si="41">H75/G75</f>
        <v>1</v>
      </c>
      <c r="M75" s="71">
        <f t="shared" si="34"/>
        <v>83.333333333333343</v>
      </c>
      <c r="N75" s="71">
        <f t="shared" ref="N75:N110" si="42">I75*G75*(A75-B75)</f>
        <v>6.0937500000000004E-5</v>
      </c>
      <c r="O75" s="71">
        <f t="shared" ref="O75:O114" si="43">G75*(A75-B75)</f>
        <v>81.25</v>
      </c>
      <c r="P75" s="71">
        <f t="shared" si="35"/>
        <v>1.3650000000000002</v>
      </c>
      <c r="Q75" s="71">
        <f t="shared" si="36"/>
        <v>0.78000000000000014</v>
      </c>
    </row>
    <row r="76" spans="1:17" x14ac:dyDescent="0.2">
      <c r="A76" s="71">
        <f t="shared" si="28"/>
        <v>13</v>
      </c>
      <c r="B76" s="74">
        <f t="shared" si="29"/>
        <v>8.25</v>
      </c>
      <c r="C76" s="72">
        <f t="shared" si="30"/>
        <v>0</v>
      </c>
      <c r="D76" s="70">
        <f t="shared" si="31"/>
        <v>178.1276632302405</v>
      </c>
      <c r="E76" s="70">
        <f t="shared" si="37"/>
        <v>16.666666666666668</v>
      </c>
      <c r="F76" s="72">
        <f t="shared" si="32"/>
        <v>0.22000000000000003</v>
      </c>
      <c r="G76" s="70">
        <f t="shared" si="38"/>
        <v>16.666666666666668</v>
      </c>
      <c r="H76" s="72">
        <f t="shared" si="33"/>
        <v>16.666666666666668</v>
      </c>
      <c r="I76" s="73">
        <f t="shared" si="39"/>
        <v>7.5000000000000002E-7</v>
      </c>
      <c r="J76" s="80">
        <f t="shared" ref="J76:J110" si="44">J75+I76</f>
        <v>5.0205027601132444E-5</v>
      </c>
      <c r="K76" s="214">
        <f t="shared" si="40"/>
        <v>5.0205027601132442E-2</v>
      </c>
      <c r="L76" s="164">
        <f t="shared" si="41"/>
        <v>1</v>
      </c>
      <c r="M76" s="71">
        <f t="shared" si="34"/>
        <v>83.333333333333343</v>
      </c>
      <c r="N76" s="71">
        <f t="shared" si="42"/>
        <v>5.9375E-5</v>
      </c>
      <c r="O76" s="71">
        <f t="shared" si="43"/>
        <v>79.166666666666671</v>
      </c>
      <c r="P76" s="71">
        <f t="shared" si="35"/>
        <v>1.33</v>
      </c>
      <c r="Q76" s="71">
        <f t="shared" si="36"/>
        <v>0.76000000000000012</v>
      </c>
    </row>
    <row r="77" spans="1:17" x14ac:dyDescent="0.2">
      <c r="A77" s="71">
        <f t="shared" si="28"/>
        <v>13</v>
      </c>
      <c r="B77" s="74">
        <f t="shared" si="29"/>
        <v>8.375</v>
      </c>
      <c r="C77" s="72">
        <f t="shared" si="30"/>
        <v>0</v>
      </c>
      <c r="D77" s="70">
        <f t="shared" si="31"/>
        <v>177.95266323024052</v>
      </c>
      <c r="E77" s="70">
        <f t="shared" si="37"/>
        <v>16.666666666666668</v>
      </c>
      <c r="F77" s="72">
        <f t="shared" si="32"/>
        <v>0.22000000000000003</v>
      </c>
      <c r="G77" s="70">
        <f t="shared" si="38"/>
        <v>16.666666666666668</v>
      </c>
      <c r="H77" s="72">
        <f t="shared" si="33"/>
        <v>16.666666666666668</v>
      </c>
      <c r="I77" s="73">
        <f t="shared" si="39"/>
        <v>7.5000000000000002E-7</v>
      </c>
      <c r="J77" s="80">
        <f t="shared" si="44"/>
        <v>5.0955027601132442E-5</v>
      </c>
      <c r="K77" s="214">
        <f t="shared" si="40"/>
        <v>5.0955027601132442E-2</v>
      </c>
      <c r="L77" s="164">
        <f t="shared" si="41"/>
        <v>1</v>
      </c>
      <c r="M77" s="71">
        <f t="shared" si="34"/>
        <v>83.333333333333343</v>
      </c>
      <c r="N77" s="71">
        <f t="shared" si="42"/>
        <v>5.7812500000000003E-5</v>
      </c>
      <c r="O77" s="71">
        <f t="shared" si="43"/>
        <v>77.083333333333343</v>
      </c>
      <c r="P77" s="71">
        <f t="shared" si="35"/>
        <v>1.2950000000000002</v>
      </c>
      <c r="Q77" s="71">
        <f t="shared" si="36"/>
        <v>0.7400000000000001</v>
      </c>
    </row>
    <row r="78" spans="1:17" x14ac:dyDescent="0.2">
      <c r="A78" s="71">
        <f t="shared" si="28"/>
        <v>13</v>
      </c>
      <c r="B78" s="74">
        <f t="shared" si="29"/>
        <v>8.5</v>
      </c>
      <c r="C78" s="72">
        <f t="shared" si="30"/>
        <v>0</v>
      </c>
      <c r="D78" s="70">
        <f t="shared" si="31"/>
        <v>177.77766323024051</v>
      </c>
      <c r="E78" s="70">
        <f t="shared" si="37"/>
        <v>16.666666666666668</v>
      </c>
      <c r="F78" s="72">
        <f t="shared" si="32"/>
        <v>0.22000000000000003</v>
      </c>
      <c r="G78" s="70">
        <f t="shared" si="38"/>
        <v>16.666666666666668</v>
      </c>
      <c r="H78" s="72">
        <f t="shared" si="33"/>
        <v>16.666666666666668</v>
      </c>
      <c r="I78" s="73">
        <f t="shared" si="39"/>
        <v>7.5000000000000002E-7</v>
      </c>
      <c r="J78" s="80">
        <f t="shared" si="44"/>
        <v>5.170502760113244E-5</v>
      </c>
      <c r="K78" s="214">
        <f t="shared" si="40"/>
        <v>5.1705027601132443E-2</v>
      </c>
      <c r="L78" s="164">
        <f t="shared" si="41"/>
        <v>1</v>
      </c>
      <c r="M78" s="71">
        <f t="shared" si="34"/>
        <v>83.333333333333343</v>
      </c>
      <c r="N78" s="71">
        <f t="shared" si="42"/>
        <v>5.6250000000000005E-5</v>
      </c>
      <c r="O78" s="71">
        <f t="shared" si="43"/>
        <v>75</v>
      </c>
      <c r="P78" s="71">
        <f t="shared" si="35"/>
        <v>1.2600000000000002</v>
      </c>
      <c r="Q78" s="71">
        <f t="shared" si="36"/>
        <v>0.7200000000000002</v>
      </c>
    </row>
    <row r="79" spans="1:17" x14ac:dyDescent="0.2">
      <c r="A79" s="71">
        <f t="shared" si="28"/>
        <v>13</v>
      </c>
      <c r="B79" s="74">
        <f t="shared" si="29"/>
        <v>8.625</v>
      </c>
      <c r="C79" s="72">
        <f t="shared" si="30"/>
        <v>0</v>
      </c>
      <c r="D79" s="70">
        <f t="shared" si="31"/>
        <v>177.60266323024052</v>
      </c>
      <c r="E79" s="70">
        <f t="shared" si="37"/>
        <v>16.666666666666668</v>
      </c>
      <c r="F79" s="72">
        <f t="shared" si="32"/>
        <v>0.22000000000000003</v>
      </c>
      <c r="G79" s="70">
        <f t="shared" si="38"/>
        <v>16.666666666666668</v>
      </c>
      <c r="H79" s="72">
        <f t="shared" si="33"/>
        <v>16.666666666666668</v>
      </c>
      <c r="I79" s="73">
        <f t="shared" si="39"/>
        <v>7.5000000000000002E-7</v>
      </c>
      <c r="J79" s="80">
        <f t="shared" si="44"/>
        <v>5.2455027601132438E-5</v>
      </c>
      <c r="K79" s="214">
        <f t="shared" si="40"/>
        <v>5.2455027601132437E-2</v>
      </c>
      <c r="L79" s="164">
        <f t="shared" si="41"/>
        <v>1</v>
      </c>
      <c r="M79" s="71">
        <f t="shared" si="34"/>
        <v>83.333333333333343</v>
      </c>
      <c r="N79" s="71">
        <f t="shared" si="42"/>
        <v>5.4687500000000001E-5</v>
      </c>
      <c r="O79" s="71">
        <f t="shared" si="43"/>
        <v>72.916666666666671</v>
      </c>
      <c r="P79" s="71">
        <f t="shared" si="35"/>
        <v>1.2250000000000001</v>
      </c>
      <c r="Q79" s="71">
        <f t="shared" si="36"/>
        <v>0.70000000000000018</v>
      </c>
    </row>
    <row r="80" spans="1:17" x14ac:dyDescent="0.2">
      <c r="A80" s="71">
        <f t="shared" si="28"/>
        <v>13</v>
      </c>
      <c r="B80" s="74">
        <f t="shared" si="29"/>
        <v>8.75</v>
      </c>
      <c r="C80" s="72">
        <f t="shared" si="30"/>
        <v>0</v>
      </c>
      <c r="D80" s="70">
        <f t="shared" si="31"/>
        <v>177.42766323024051</v>
      </c>
      <c r="E80" s="70">
        <f t="shared" si="37"/>
        <v>16.666666666666668</v>
      </c>
      <c r="F80" s="72">
        <f t="shared" si="32"/>
        <v>0.22000000000000003</v>
      </c>
      <c r="G80" s="70">
        <f t="shared" si="38"/>
        <v>16.666666666666668</v>
      </c>
      <c r="H80" s="72">
        <f t="shared" si="33"/>
        <v>16.666666666666668</v>
      </c>
      <c r="I80" s="73">
        <f t="shared" si="39"/>
        <v>7.5000000000000002E-7</v>
      </c>
      <c r="J80" s="80">
        <f t="shared" si="44"/>
        <v>5.3205027601132435E-5</v>
      </c>
      <c r="K80" s="214">
        <f t="shared" si="40"/>
        <v>5.3205027601132437E-2</v>
      </c>
      <c r="L80" s="164">
        <f t="shared" si="41"/>
        <v>1</v>
      </c>
      <c r="M80" s="71">
        <f t="shared" si="34"/>
        <v>83.333333333333343</v>
      </c>
      <c r="N80" s="71">
        <f t="shared" si="42"/>
        <v>5.3125000000000004E-5</v>
      </c>
      <c r="O80" s="71">
        <f t="shared" si="43"/>
        <v>70.833333333333343</v>
      </c>
      <c r="P80" s="71">
        <f t="shared" si="35"/>
        <v>1.1900000000000002</v>
      </c>
      <c r="Q80" s="71">
        <f t="shared" si="36"/>
        <v>0.68000000000000016</v>
      </c>
    </row>
    <row r="81" spans="1:17" x14ac:dyDescent="0.2">
      <c r="A81" s="71">
        <f t="shared" si="28"/>
        <v>13</v>
      </c>
      <c r="B81" s="74">
        <f t="shared" si="29"/>
        <v>8.875</v>
      </c>
      <c r="C81" s="72">
        <f t="shared" si="30"/>
        <v>0</v>
      </c>
      <c r="D81" s="70">
        <f t="shared" si="31"/>
        <v>177.2526632302405</v>
      </c>
      <c r="E81" s="70">
        <f t="shared" si="37"/>
        <v>16.666666666666668</v>
      </c>
      <c r="F81" s="72">
        <f t="shared" si="32"/>
        <v>0.22000000000000003</v>
      </c>
      <c r="G81" s="70">
        <f t="shared" si="38"/>
        <v>16.666666666666668</v>
      </c>
      <c r="H81" s="72">
        <f t="shared" si="33"/>
        <v>16.666666666666668</v>
      </c>
      <c r="I81" s="73">
        <f t="shared" si="39"/>
        <v>7.5000000000000002E-7</v>
      </c>
      <c r="J81" s="80">
        <f t="shared" si="44"/>
        <v>5.3955027601132433E-5</v>
      </c>
      <c r="K81" s="214">
        <f t="shared" si="40"/>
        <v>5.3955027601132431E-2</v>
      </c>
      <c r="L81" s="164">
        <f t="shared" si="41"/>
        <v>1</v>
      </c>
      <c r="M81" s="71">
        <f t="shared" si="34"/>
        <v>83.333333333333343</v>
      </c>
      <c r="N81" s="71">
        <f t="shared" si="42"/>
        <v>5.15625E-5</v>
      </c>
      <c r="O81" s="71">
        <f t="shared" si="43"/>
        <v>68.75</v>
      </c>
      <c r="P81" s="71">
        <f t="shared" si="35"/>
        <v>1.155</v>
      </c>
      <c r="Q81" s="71">
        <f t="shared" si="36"/>
        <v>0.66000000000000014</v>
      </c>
    </row>
    <row r="82" spans="1:17" x14ac:dyDescent="0.2">
      <c r="A82" s="71">
        <f t="shared" si="28"/>
        <v>13</v>
      </c>
      <c r="B82" s="74">
        <f t="shared" si="29"/>
        <v>9</v>
      </c>
      <c r="C82" s="72">
        <f t="shared" si="30"/>
        <v>0</v>
      </c>
      <c r="D82" s="70">
        <f t="shared" si="31"/>
        <v>177.07766323024052</v>
      </c>
      <c r="E82" s="70">
        <f t="shared" si="37"/>
        <v>16.666666666666668</v>
      </c>
      <c r="F82" s="72">
        <f t="shared" si="32"/>
        <v>0.22000000000000003</v>
      </c>
      <c r="G82" s="70">
        <f t="shared" si="38"/>
        <v>16.666666666666668</v>
      </c>
      <c r="H82" s="72">
        <f t="shared" si="33"/>
        <v>16.666666666666668</v>
      </c>
      <c r="I82" s="73">
        <f t="shared" si="39"/>
        <v>7.5000000000000002E-7</v>
      </c>
      <c r="J82" s="80">
        <f t="shared" si="44"/>
        <v>5.4705027601132431E-5</v>
      </c>
      <c r="K82" s="214">
        <f t="shared" si="40"/>
        <v>5.4705027601132432E-2</v>
      </c>
      <c r="L82" s="164">
        <f t="shared" si="41"/>
        <v>1</v>
      </c>
      <c r="M82" s="71">
        <f t="shared" si="34"/>
        <v>83.333333333333343</v>
      </c>
      <c r="N82" s="71">
        <f t="shared" si="42"/>
        <v>5.0000000000000002E-5</v>
      </c>
      <c r="O82" s="71">
        <f t="shared" si="43"/>
        <v>66.666666666666671</v>
      </c>
      <c r="P82" s="71">
        <f t="shared" si="35"/>
        <v>1.1200000000000001</v>
      </c>
      <c r="Q82" s="71">
        <f t="shared" si="36"/>
        <v>0.64000000000000012</v>
      </c>
    </row>
    <row r="83" spans="1:17" x14ac:dyDescent="0.2">
      <c r="A83" s="71">
        <f t="shared" si="28"/>
        <v>13</v>
      </c>
      <c r="B83" s="74">
        <f t="shared" si="29"/>
        <v>9.125</v>
      </c>
      <c r="C83" s="72">
        <f t="shared" si="30"/>
        <v>0</v>
      </c>
      <c r="D83" s="70">
        <f t="shared" si="31"/>
        <v>176.90266323024051</v>
      </c>
      <c r="E83" s="70">
        <f t="shared" si="37"/>
        <v>16.666666666666668</v>
      </c>
      <c r="F83" s="72">
        <f t="shared" si="32"/>
        <v>0.22000000000000003</v>
      </c>
      <c r="G83" s="70">
        <f t="shared" si="38"/>
        <v>16.666666666666668</v>
      </c>
      <c r="H83" s="72">
        <f t="shared" si="33"/>
        <v>16.666666666666668</v>
      </c>
      <c r="I83" s="73">
        <f t="shared" si="39"/>
        <v>7.5000000000000002E-7</v>
      </c>
      <c r="J83" s="80">
        <f t="shared" si="44"/>
        <v>5.5455027601132429E-5</v>
      </c>
      <c r="K83" s="214">
        <f t="shared" si="40"/>
        <v>5.5455027601132433E-2</v>
      </c>
      <c r="L83" s="164">
        <f t="shared" si="41"/>
        <v>1</v>
      </c>
      <c r="M83" s="71">
        <f t="shared" si="34"/>
        <v>83.333333333333343</v>
      </c>
      <c r="N83" s="71">
        <f t="shared" si="42"/>
        <v>4.8437500000000005E-5</v>
      </c>
      <c r="O83" s="71">
        <f t="shared" si="43"/>
        <v>64.583333333333343</v>
      </c>
      <c r="P83" s="71">
        <f t="shared" si="35"/>
        <v>1.0850000000000002</v>
      </c>
      <c r="Q83" s="71">
        <f t="shared" si="36"/>
        <v>0.62000000000000011</v>
      </c>
    </row>
    <row r="84" spans="1:17" x14ac:dyDescent="0.2">
      <c r="A84" s="71">
        <f t="shared" si="28"/>
        <v>13</v>
      </c>
      <c r="B84" s="74">
        <f t="shared" si="29"/>
        <v>9.25</v>
      </c>
      <c r="C84" s="72">
        <f t="shared" si="30"/>
        <v>0</v>
      </c>
      <c r="D84" s="70">
        <f t="shared" si="31"/>
        <v>176.72766323024052</v>
      </c>
      <c r="E84" s="70">
        <f t="shared" si="37"/>
        <v>16.666666666666668</v>
      </c>
      <c r="F84" s="72">
        <f t="shared" si="32"/>
        <v>0.22000000000000003</v>
      </c>
      <c r="G84" s="70">
        <f t="shared" si="38"/>
        <v>16.666666666666668</v>
      </c>
      <c r="H84" s="72">
        <f t="shared" si="33"/>
        <v>16.666666666666668</v>
      </c>
      <c r="I84" s="73">
        <f t="shared" si="39"/>
        <v>7.5000000000000002E-7</v>
      </c>
      <c r="J84" s="80">
        <f t="shared" si="44"/>
        <v>5.6205027601132427E-5</v>
      </c>
      <c r="K84" s="214">
        <f t="shared" si="40"/>
        <v>5.6205027601132426E-2</v>
      </c>
      <c r="L84" s="164">
        <f t="shared" si="41"/>
        <v>1</v>
      </c>
      <c r="M84" s="71">
        <f t="shared" si="34"/>
        <v>83.333333333333343</v>
      </c>
      <c r="N84" s="71">
        <f t="shared" si="42"/>
        <v>4.6875000000000001E-5</v>
      </c>
      <c r="O84" s="71">
        <f t="shared" si="43"/>
        <v>62.500000000000007</v>
      </c>
      <c r="P84" s="71">
        <f t="shared" si="35"/>
        <v>1.05</v>
      </c>
      <c r="Q84" s="71">
        <f t="shared" si="36"/>
        <v>0.60000000000000009</v>
      </c>
    </row>
    <row r="85" spans="1:17" x14ac:dyDescent="0.2">
      <c r="A85" s="71">
        <f t="shared" si="28"/>
        <v>13</v>
      </c>
      <c r="B85" s="74">
        <f t="shared" si="29"/>
        <v>9.375</v>
      </c>
      <c r="C85" s="72">
        <f t="shared" si="30"/>
        <v>0</v>
      </c>
      <c r="D85" s="70">
        <f t="shared" si="31"/>
        <v>176.55266323024051</v>
      </c>
      <c r="E85" s="70">
        <f t="shared" si="37"/>
        <v>16.666666666666668</v>
      </c>
      <c r="F85" s="72">
        <f t="shared" si="32"/>
        <v>0.22000000000000003</v>
      </c>
      <c r="G85" s="70">
        <f t="shared" si="38"/>
        <v>16.666666666666668</v>
      </c>
      <c r="H85" s="72">
        <f t="shared" si="33"/>
        <v>16.666666666666668</v>
      </c>
      <c r="I85" s="73">
        <f t="shared" si="39"/>
        <v>7.5000000000000002E-7</v>
      </c>
      <c r="J85" s="80">
        <f t="shared" si="44"/>
        <v>5.6955027601132425E-5</v>
      </c>
      <c r="K85" s="214">
        <f t="shared" si="40"/>
        <v>5.6955027601132427E-2</v>
      </c>
      <c r="L85" s="164">
        <f t="shared" si="41"/>
        <v>1</v>
      </c>
      <c r="M85" s="71">
        <f t="shared" si="34"/>
        <v>83.333333333333343</v>
      </c>
      <c r="N85" s="71">
        <f t="shared" si="42"/>
        <v>4.5312500000000004E-5</v>
      </c>
      <c r="O85" s="71">
        <f t="shared" si="43"/>
        <v>60.416666666666671</v>
      </c>
      <c r="P85" s="71">
        <f t="shared" si="35"/>
        <v>1.0150000000000001</v>
      </c>
      <c r="Q85" s="71">
        <f t="shared" si="36"/>
        <v>0.58000000000000007</v>
      </c>
    </row>
    <row r="86" spans="1:17" x14ac:dyDescent="0.2">
      <c r="A86" s="71">
        <f t="shared" si="28"/>
        <v>13</v>
      </c>
      <c r="B86" s="74">
        <f t="shared" si="29"/>
        <v>9.5</v>
      </c>
      <c r="C86" s="72">
        <f t="shared" si="30"/>
        <v>0</v>
      </c>
      <c r="D86" s="70">
        <f t="shared" si="31"/>
        <v>176.3776632302405</v>
      </c>
      <c r="E86" s="70">
        <f t="shared" si="37"/>
        <v>16.666666666666668</v>
      </c>
      <c r="F86" s="72">
        <f t="shared" si="32"/>
        <v>0.22000000000000003</v>
      </c>
      <c r="G86" s="70">
        <f t="shared" si="38"/>
        <v>16.666666666666668</v>
      </c>
      <c r="H86" s="72">
        <f t="shared" si="33"/>
        <v>16.666666666666668</v>
      </c>
      <c r="I86" s="73">
        <f t="shared" si="39"/>
        <v>7.5000000000000002E-7</v>
      </c>
      <c r="J86" s="80">
        <f t="shared" si="44"/>
        <v>5.7705027601132423E-5</v>
      </c>
      <c r="K86" s="214">
        <f t="shared" si="40"/>
        <v>5.7705027601132421E-2</v>
      </c>
      <c r="L86" s="164">
        <f t="shared" si="41"/>
        <v>1</v>
      </c>
      <c r="M86" s="71">
        <f t="shared" si="34"/>
        <v>83.333333333333343</v>
      </c>
      <c r="N86" s="71">
        <f t="shared" si="42"/>
        <v>4.375E-5</v>
      </c>
      <c r="O86" s="71">
        <f t="shared" si="43"/>
        <v>58.333333333333336</v>
      </c>
      <c r="P86" s="71">
        <f t="shared" si="35"/>
        <v>0.98000000000000009</v>
      </c>
      <c r="Q86" s="71">
        <f t="shared" si="36"/>
        <v>0.56000000000000005</v>
      </c>
    </row>
    <row r="87" spans="1:17" x14ac:dyDescent="0.2">
      <c r="A87" s="71">
        <f t="shared" si="28"/>
        <v>13</v>
      </c>
      <c r="B87" s="74">
        <f t="shared" si="29"/>
        <v>9.625</v>
      </c>
      <c r="C87" s="72">
        <f t="shared" si="30"/>
        <v>0</v>
      </c>
      <c r="D87" s="70">
        <f t="shared" si="31"/>
        <v>176.20266323024052</v>
      </c>
      <c r="E87" s="70">
        <f t="shared" si="37"/>
        <v>16.666666666666668</v>
      </c>
      <c r="F87" s="72">
        <f t="shared" si="32"/>
        <v>0.22000000000000003</v>
      </c>
      <c r="G87" s="70">
        <f t="shared" si="38"/>
        <v>16.666666666666668</v>
      </c>
      <c r="H87" s="72">
        <f t="shared" si="33"/>
        <v>16.666666666666668</v>
      </c>
      <c r="I87" s="73">
        <f t="shared" si="39"/>
        <v>7.5000000000000002E-7</v>
      </c>
      <c r="J87" s="80">
        <f t="shared" si="44"/>
        <v>5.8455027601132421E-5</v>
      </c>
      <c r="K87" s="214">
        <f t="shared" si="40"/>
        <v>5.8455027601132421E-2</v>
      </c>
      <c r="L87" s="164">
        <f t="shared" si="41"/>
        <v>1</v>
      </c>
      <c r="M87" s="71">
        <f t="shared" si="34"/>
        <v>83.333333333333343</v>
      </c>
      <c r="N87" s="71">
        <f t="shared" si="42"/>
        <v>4.2187500000000002E-5</v>
      </c>
      <c r="O87" s="71">
        <f t="shared" si="43"/>
        <v>56.250000000000007</v>
      </c>
      <c r="P87" s="71">
        <f t="shared" si="35"/>
        <v>0.94500000000000006</v>
      </c>
      <c r="Q87" s="71">
        <f t="shared" si="36"/>
        <v>0.54000000000000015</v>
      </c>
    </row>
    <row r="88" spans="1:17" x14ac:dyDescent="0.2">
      <c r="A88" s="71">
        <f t="shared" si="28"/>
        <v>13</v>
      </c>
      <c r="B88" s="74">
        <f t="shared" si="29"/>
        <v>9.75</v>
      </c>
      <c r="C88" s="72">
        <f t="shared" si="30"/>
        <v>0</v>
      </c>
      <c r="D88" s="70">
        <f t="shared" si="31"/>
        <v>176.02766323024051</v>
      </c>
      <c r="E88" s="70">
        <f t="shared" si="37"/>
        <v>16.666666666666668</v>
      </c>
      <c r="F88" s="72">
        <f t="shared" si="32"/>
        <v>0.22000000000000003</v>
      </c>
      <c r="G88" s="70">
        <f t="shared" si="38"/>
        <v>16.666666666666668</v>
      </c>
      <c r="H88" s="72">
        <f t="shared" si="33"/>
        <v>16.666666666666668</v>
      </c>
      <c r="I88" s="73">
        <f t="shared" si="39"/>
        <v>7.5000000000000002E-7</v>
      </c>
      <c r="J88" s="80">
        <f t="shared" si="44"/>
        <v>5.9205027601132419E-5</v>
      </c>
      <c r="K88" s="214">
        <f t="shared" si="40"/>
        <v>5.9205027601132422E-2</v>
      </c>
      <c r="L88" s="164">
        <f t="shared" si="41"/>
        <v>1</v>
      </c>
      <c r="M88" s="71">
        <f t="shared" si="34"/>
        <v>83.333333333333343</v>
      </c>
      <c r="N88" s="71">
        <f t="shared" si="42"/>
        <v>4.0625000000000005E-5</v>
      </c>
      <c r="O88" s="71">
        <f t="shared" si="43"/>
        <v>54.166666666666671</v>
      </c>
      <c r="P88" s="71">
        <f t="shared" si="35"/>
        <v>0.91000000000000014</v>
      </c>
      <c r="Q88" s="71">
        <f t="shared" si="36"/>
        <v>0.52000000000000013</v>
      </c>
    </row>
    <row r="89" spans="1:17" x14ac:dyDescent="0.2">
      <c r="A89" s="71">
        <f t="shared" si="28"/>
        <v>13</v>
      </c>
      <c r="B89" s="74">
        <f t="shared" si="29"/>
        <v>9.875</v>
      </c>
      <c r="C89" s="72">
        <f t="shared" si="30"/>
        <v>0</v>
      </c>
      <c r="D89" s="70">
        <f t="shared" si="31"/>
        <v>175.85266323024052</v>
      </c>
      <c r="E89" s="70">
        <f t="shared" si="37"/>
        <v>16.666666666666668</v>
      </c>
      <c r="F89" s="72">
        <f t="shared" si="32"/>
        <v>0.22000000000000003</v>
      </c>
      <c r="G89" s="70">
        <f t="shared" si="38"/>
        <v>16.666666666666668</v>
      </c>
      <c r="H89" s="72">
        <f t="shared" si="33"/>
        <v>16.666666666666668</v>
      </c>
      <c r="I89" s="73">
        <f t="shared" si="39"/>
        <v>7.5000000000000002E-7</v>
      </c>
      <c r="J89" s="80">
        <f t="shared" si="44"/>
        <v>5.9955027601132417E-5</v>
      </c>
      <c r="K89" s="214">
        <f t="shared" si="40"/>
        <v>5.9955027601132416E-2</v>
      </c>
      <c r="L89" s="164">
        <f t="shared" si="41"/>
        <v>1</v>
      </c>
      <c r="M89" s="71">
        <f t="shared" si="34"/>
        <v>83.333333333333343</v>
      </c>
      <c r="N89" s="71">
        <f t="shared" si="42"/>
        <v>3.9062500000000001E-5</v>
      </c>
      <c r="O89" s="71">
        <f t="shared" si="43"/>
        <v>52.083333333333336</v>
      </c>
      <c r="P89" s="71">
        <f t="shared" si="35"/>
        <v>0.87500000000000011</v>
      </c>
      <c r="Q89" s="71">
        <f t="shared" si="36"/>
        <v>0.50000000000000011</v>
      </c>
    </row>
    <row r="90" spans="1:17" x14ac:dyDescent="0.2">
      <c r="A90" s="71">
        <f t="shared" si="28"/>
        <v>13</v>
      </c>
      <c r="B90" s="74">
        <f t="shared" si="29"/>
        <v>10</v>
      </c>
      <c r="C90" s="72">
        <f t="shared" si="30"/>
        <v>0</v>
      </c>
      <c r="D90" s="70">
        <f t="shared" si="31"/>
        <v>175.67766323024051</v>
      </c>
      <c r="E90" s="70">
        <f t="shared" si="37"/>
        <v>16.666666666666668</v>
      </c>
      <c r="F90" s="72">
        <f t="shared" si="32"/>
        <v>0.22000000000000003</v>
      </c>
      <c r="G90" s="70">
        <f t="shared" si="38"/>
        <v>16.666666666666668</v>
      </c>
      <c r="H90" s="72">
        <f t="shared" si="33"/>
        <v>16.666666666666668</v>
      </c>
      <c r="I90" s="73">
        <f t="shared" si="39"/>
        <v>7.5000000000000002E-7</v>
      </c>
      <c r="J90" s="80">
        <f t="shared" si="44"/>
        <v>6.0705027601132414E-5</v>
      </c>
      <c r="K90" s="214">
        <f t="shared" si="40"/>
        <v>6.0705027601132416E-2</v>
      </c>
      <c r="L90" s="164">
        <f t="shared" si="41"/>
        <v>1</v>
      </c>
      <c r="M90" s="71">
        <f t="shared" si="34"/>
        <v>83.333333333333343</v>
      </c>
      <c r="N90" s="71">
        <f t="shared" si="42"/>
        <v>3.7500000000000003E-5</v>
      </c>
      <c r="O90" s="71">
        <f t="shared" si="43"/>
        <v>50</v>
      </c>
      <c r="P90" s="71">
        <f t="shared" si="35"/>
        <v>0.84000000000000008</v>
      </c>
      <c r="Q90" s="71">
        <f t="shared" si="36"/>
        <v>0.48000000000000009</v>
      </c>
    </row>
    <row r="91" spans="1:17" x14ac:dyDescent="0.2">
      <c r="A91" s="71">
        <f t="shared" si="28"/>
        <v>13</v>
      </c>
      <c r="B91" s="74">
        <f t="shared" si="29"/>
        <v>10.125</v>
      </c>
      <c r="C91" s="72">
        <f t="shared" si="30"/>
        <v>0</v>
      </c>
      <c r="D91" s="70">
        <f t="shared" si="31"/>
        <v>175.5026632302405</v>
      </c>
      <c r="E91" s="70">
        <f t="shared" si="37"/>
        <v>16.666666666666668</v>
      </c>
      <c r="F91" s="72">
        <f t="shared" si="32"/>
        <v>0.22000000000000003</v>
      </c>
      <c r="G91" s="70">
        <f t="shared" si="38"/>
        <v>16.666666666666668</v>
      </c>
      <c r="H91" s="72">
        <f t="shared" si="33"/>
        <v>16.666666666666668</v>
      </c>
      <c r="I91" s="73">
        <f t="shared" si="39"/>
        <v>7.5000000000000002E-7</v>
      </c>
      <c r="J91" s="80">
        <f t="shared" si="44"/>
        <v>6.1455027601132412E-5</v>
      </c>
      <c r="K91" s="214">
        <f t="shared" si="40"/>
        <v>6.145502760113241E-2</v>
      </c>
      <c r="L91" s="164">
        <f t="shared" si="41"/>
        <v>1</v>
      </c>
      <c r="M91" s="71">
        <f t="shared" si="34"/>
        <v>83.333333333333343</v>
      </c>
      <c r="N91" s="71">
        <f t="shared" si="42"/>
        <v>3.5937499999999999E-5</v>
      </c>
      <c r="O91" s="71">
        <f t="shared" si="43"/>
        <v>47.916666666666671</v>
      </c>
      <c r="P91" s="71">
        <f t="shared" si="35"/>
        <v>0.80500000000000005</v>
      </c>
      <c r="Q91" s="71">
        <f t="shared" si="36"/>
        <v>0.46000000000000008</v>
      </c>
    </row>
    <row r="92" spans="1:17" x14ac:dyDescent="0.2">
      <c r="A92" s="71">
        <f t="shared" si="28"/>
        <v>13</v>
      </c>
      <c r="B92" s="74">
        <f t="shared" si="29"/>
        <v>10.25</v>
      </c>
      <c r="C92" s="72">
        <f t="shared" si="30"/>
        <v>0</v>
      </c>
      <c r="D92" s="70">
        <f t="shared" si="31"/>
        <v>175.32766323024052</v>
      </c>
      <c r="E92" s="70">
        <f t="shared" si="37"/>
        <v>16.666666666666668</v>
      </c>
      <c r="F92" s="72">
        <f t="shared" si="32"/>
        <v>0.22000000000000003</v>
      </c>
      <c r="G92" s="70">
        <f t="shared" si="38"/>
        <v>16.666666666666668</v>
      </c>
      <c r="H92" s="72">
        <f t="shared" si="33"/>
        <v>16.666666666666668</v>
      </c>
      <c r="I92" s="73">
        <f t="shared" si="39"/>
        <v>7.5000000000000002E-7</v>
      </c>
      <c r="J92" s="80">
        <f t="shared" si="44"/>
        <v>6.2205027601132417E-5</v>
      </c>
      <c r="K92" s="214">
        <f t="shared" si="40"/>
        <v>6.2205027601132418E-2</v>
      </c>
      <c r="L92" s="164">
        <f t="shared" si="41"/>
        <v>1</v>
      </c>
      <c r="M92" s="71">
        <f t="shared" si="34"/>
        <v>83.333333333333343</v>
      </c>
      <c r="N92" s="71">
        <f t="shared" si="42"/>
        <v>3.4375000000000002E-5</v>
      </c>
      <c r="O92" s="71">
        <f t="shared" si="43"/>
        <v>45.833333333333336</v>
      </c>
      <c r="P92" s="71">
        <f t="shared" si="35"/>
        <v>0.77</v>
      </c>
      <c r="Q92" s="71">
        <f t="shared" si="36"/>
        <v>0.44000000000000006</v>
      </c>
    </row>
    <row r="93" spans="1:17" x14ac:dyDescent="0.2">
      <c r="A93" s="71">
        <f t="shared" si="28"/>
        <v>13</v>
      </c>
      <c r="B93" s="74">
        <f t="shared" si="29"/>
        <v>10.375</v>
      </c>
      <c r="C93" s="72">
        <f t="shared" si="30"/>
        <v>0</v>
      </c>
      <c r="D93" s="70">
        <f t="shared" si="31"/>
        <v>175.15266323024051</v>
      </c>
      <c r="E93" s="70">
        <f t="shared" si="37"/>
        <v>16.666666666666668</v>
      </c>
      <c r="F93" s="72">
        <f t="shared" si="32"/>
        <v>0.22000000000000003</v>
      </c>
      <c r="G93" s="70">
        <f t="shared" si="38"/>
        <v>16.666666666666668</v>
      </c>
      <c r="H93" s="72">
        <f t="shared" si="33"/>
        <v>16.666666666666668</v>
      </c>
      <c r="I93" s="73">
        <f t="shared" si="39"/>
        <v>7.5000000000000002E-7</v>
      </c>
      <c r="J93" s="80">
        <f t="shared" si="44"/>
        <v>6.2955027601132422E-5</v>
      </c>
      <c r="K93" s="214">
        <f t="shared" si="40"/>
        <v>6.2955027601132418E-2</v>
      </c>
      <c r="L93" s="164">
        <f t="shared" si="41"/>
        <v>1</v>
      </c>
      <c r="M93" s="71">
        <f t="shared" si="34"/>
        <v>83.333333333333343</v>
      </c>
      <c r="N93" s="71">
        <f t="shared" si="42"/>
        <v>3.2812500000000005E-5</v>
      </c>
      <c r="O93" s="71">
        <f t="shared" si="43"/>
        <v>43.75</v>
      </c>
      <c r="P93" s="71">
        <f t="shared" si="35"/>
        <v>0.7350000000000001</v>
      </c>
      <c r="Q93" s="71">
        <f t="shared" si="36"/>
        <v>0.4200000000000001</v>
      </c>
    </row>
    <row r="94" spans="1:17" x14ac:dyDescent="0.2">
      <c r="A94" s="71">
        <f t="shared" si="28"/>
        <v>13</v>
      </c>
      <c r="B94" s="74">
        <f t="shared" si="29"/>
        <v>10.5</v>
      </c>
      <c r="C94" s="72">
        <f t="shared" si="30"/>
        <v>0</v>
      </c>
      <c r="D94" s="70">
        <f t="shared" si="31"/>
        <v>174.97766323024052</v>
      </c>
      <c r="E94" s="70">
        <f t="shared" si="37"/>
        <v>16.666666666666668</v>
      </c>
      <c r="F94" s="72">
        <f t="shared" si="32"/>
        <v>0.22000000000000003</v>
      </c>
      <c r="G94" s="70">
        <f t="shared" si="38"/>
        <v>16.666666666666668</v>
      </c>
      <c r="H94" s="72">
        <f t="shared" si="33"/>
        <v>16.666666666666668</v>
      </c>
      <c r="I94" s="73">
        <f t="shared" si="39"/>
        <v>7.5000000000000002E-7</v>
      </c>
      <c r="J94" s="80">
        <f t="shared" si="44"/>
        <v>6.3705027601132426E-5</v>
      </c>
      <c r="K94" s="214">
        <f t="shared" si="40"/>
        <v>6.3705027601132433E-2</v>
      </c>
      <c r="L94" s="164">
        <f t="shared" si="41"/>
        <v>1</v>
      </c>
      <c r="M94" s="71">
        <f t="shared" si="34"/>
        <v>83.333333333333343</v>
      </c>
      <c r="N94" s="71">
        <f t="shared" si="42"/>
        <v>3.1250000000000001E-5</v>
      </c>
      <c r="O94" s="71">
        <f t="shared" si="43"/>
        <v>41.666666666666671</v>
      </c>
      <c r="P94" s="71">
        <f t="shared" si="35"/>
        <v>0.70000000000000007</v>
      </c>
      <c r="Q94" s="71">
        <f t="shared" si="36"/>
        <v>0.40000000000000008</v>
      </c>
    </row>
    <row r="95" spans="1:17" x14ac:dyDescent="0.2">
      <c r="A95" s="71">
        <f t="shared" si="28"/>
        <v>13</v>
      </c>
      <c r="B95" s="74">
        <f t="shared" si="29"/>
        <v>10.625</v>
      </c>
      <c r="C95" s="72">
        <f t="shared" si="30"/>
        <v>0</v>
      </c>
      <c r="D95" s="70">
        <f t="shared" si="31"/>
        <v>174.80266323024051</v>
      </c>
      <c r="E95" s="70">
        <f t="shared" si="37"/>
        <v>16.666666666666668</v>
      </c>
      <c r="F95" s="72">
        <f t="shared" si="32"/>
        <v>0.22000000000000003</v>
      </c>
      <c r="G95" s="70">
        <f t="shared" si="38"/>
        <v>16.666666666666668</v>
      </c>
      <c r="H95" s="72">
        <f t="shared" si="33"/>
        <v>16.666666666666668</v>
      </c>
      <c r="I95" s="73">
        <f t="shared" si="39"/>
        <v>7.5000000000000002E-7</v>
      </c>
      <c r="J95" s="80">
        <f t="shared" si="44"/>
        <v>6.4455027601132431E-5</v>
      </c>
      <c r="K95" s="214">
        <f t="shared" si="40"/>
        <v>6.4455027601132434E-2</v>
      </c>
      <c r="L95" s="164">
        <f t="shared" si="41"/>
        <v>1</v>
      </c>
      <c r="M95" s="71">
        <f t="shared" si="34"/>
        <v>83.333333333333343</v>
      </c>
      <c r="N95" s="71">
        <f t="shared" si="42"/>
        <v>2.96875E-5</v>
      </c>
      <c r="O95" s="71">
        <f t="shared" si="43"/>
        <v>39.583333333333336</v>
      </c>
      <c r="P95" s="71">
        <f t="shared" si="35"/>
        <v>0.66500000000000004</v>
      </c>
      <c r="Q95" s="71">
        <f t="shared" si="36"/>
        <v>0.38000000000000006</v>
      </c>
    </row>
    <row r="96" spans="1:17" x14ac:dyDescent="0.2">
      <c r="A96" s="71">
        <f t="shared" si="28"/>
        <v>13</v>
      </c>
      <c r="B96" s="74">
        <f t="shared" si="29"/>
        <v>10.75</v>
      </c>
      <c r="C96" s="72">
        <f t="shared" si="30"/>
        <v>0</v>
      </c>
      <c r="D96" s="70">
        <f t="shared" si="31"/>
        <v>174.6276632302405</v>
      </c>
      <c r="E96" s="70">
        <f t="shared" si="37"/>
        <v>16.666666666666668</v>
      </c>
      <c r="F96" s="72">
        <f t="shared" si="32"/>
        <v>0.22000000000000003</v>
      </c>
      <c r="G96" s="70">
        <f t="shared" si="38"/>
        <v>16.666666666666668</v>
      </c>
      <c r="H96" s="72">
        <f t="shared" si="33"/>
        <v>16.666666666666668</v>
      </c>
      <c r="I96" s="73">
        <f t="shared" si="39"/>
        <v>7.5000000000000002E-7</v>
      </c>
      <c r="J96" s="80">
        <f t="shared" si="44"/>
        <v>6.5205027601132436E-5</v>
      </c>
      <c r="K96" s="214">
        <f t="shared" si="40"/>
        <v>6.5205027601132434E-2</v>
      </c>
      <c r="L96" s="164">
        <f t="shared" si="41"/>
        <v>1</v>
      </c>
      <c r="M96" s="71">
        <f t="shared" si="34"/>
        <v>83.333333333333343</v>
      </c>
      <c r="N96" s="71">
        <f t="shared" si="42"/>
        <v>2.8125000000000003E-5</v>
      </c>
      <c r="O96" s="71">
        <f t="shared" si="43"/>
        <v>37.5</v>
      </c>
      <c r="P96" s="71">
        <f t="shared" si="35"/>
        <v>0.63000000000000012</v>
      </c>
      <c r="Q96" s="71">
        <f t="shared" si="36"/>
        <v>0.3600000000000001</v>
      </c>
    </row>
    <row r="97" spans="1:17" x14ac:dyDescent="0.2">
      <c r="A97" s="71">
        <f t="shared" si="28"/>
        <v>13</v>
      </c>
      <c r="B97" s="74">
        <f t="shared" si="29"/>
        <v>10.875</v>
      </c>
      <c r="C97" s="72">
        <f t="shared" si="30"/>
        <v>0</v>
      </c>
      <c r="D97" s="70">
        <f t="shared" si="31"/>
        <v>174.45266323024052</v>
      </c>
      <c r="E97" s="70">
        <f t="shared" si="37"/>
        <v>16.666666666666668</v>
      </c>
      <c r="F97" s="72">
        <f t="shared" si="32"/>
        <v>0.22000000000000003</v>
      </c>
      <c r="G97" s="70">
        <f t="shared" si="38"/>
        <v>16.666666666666668</v>
      </c>
      <c r="H97" s="72">
        <f t="shared" si="33"/>
        <v>16.666666666666668</v>
      </c>
      <c r="I97" s="73">
        <f t="shared" si="39"/>
        <v>7.5000000000000002E-7</v>
      </c>
      <c r="J97" s="80">
        <f t="shared" si="44"/>
        <v>6.595502760113244E-5</v>
      </c>
      <c r="K97" s="214">
        <f t="shared" si="40"/>
        <v>6.5955027601132435E-2</v>
      </c>
      <c r="L97" s="164">
        <f t="shared" si="41"/>
        <v>1</v>
      </c>
      <c r="M97" s="71">
        <f t="shared" si="34"/>
        <v>83.333333333333343</v>
      </c>
      <c r="N97" s="71">
        <f t="shared" si="42"/>
        <v>2.6562500000000002E-5</v>
      </c>
      <c r="O97" s="71">
        <f t="shared" si="43"/>
        <v>35.416666666666671</v>
      </c>
      <c r="P97" s="71">
        <f t="shared" si="35"/>
        <v>0.59500000000000008</v>
      </c>
      <c r="Q97" s="71">
        <f t="shared" si="36"/>
        <v>0.34000000000000008</v>
      </c>
    </row>
    <row r="98" spans="1:17" x14ac:dyDescent="0.2">
      <c r="A98" s="71">
        <f t="shared" si="28"/>
        <v>13</v>
      </c>
      <c r="B98" s="74">
        <f t="shared" si="29"/>
        <v>11</v>
      </c>
      <c r="C98" s="72">
        <f t="shared" si="30"/>
        <v>0</v>
      </c>
      <c r="D98" s="70">
        <f t="shared" si="31"/>
        <v>174.27766323024051</v>
      </c>
      <c r="E98" s="70">
        <f t="shared" si="37"/>
        <v>16.666666666666668</v>
      </c>
      <c r="F98" s="72">
        <f t="shared" si="32"/>
        <v>0.22000000000000003</v>
      </c>
      <c r="G98" s="70">
        <f t="shared" si="38"/>
        <v>16.666666666666668</v>
      </c>
      <c r="H98" s="72">
        <f t="shared" si="33"/>
        <v>16.666666666666668</v>
      </c>
      <c r="I98" s="73">
        <f t="shared" si="39"/>
        <v>7.5000000000000002E-7</v>
      </c>
      <c r="J98" s="80">
        <f t="shared" si="44"/>
        <v>6.6705027601132445E-5</v>
      </c>
      <c r="K98" s="214">
        <f t="shared" si="40"/>
        <v>6.6705027601132449E-2</v>
      </c>
      <c r="L98" s="164">
        <f t="shared" si="41"/>
        <v>1</v>
      </c>
      <c r="M98" s="71">
        <f t="shared" si="34"/>
        <v>83.333333333333343</v>
      </c>
      <c r="N98" s="71">
        <f t="shared" si="42"/>
        <v>2.5000000000000001E-5</v>
      </c>
      <c r="O98" s="71">
        <f t="shared" si="43"/>
        <v>33.333333333333336</v>
      </c>
      <c r="P98" s="71">
        <f t="shared" si="35"/>
        <v>0.56000000000000005</v>
      </c>
      <c r="Q98" s="71">
        <f t="shared" si="36"/>
        <v>0.32000000000000006</v>
      </c>
    </row>
    <row r="99" spans="1:17" x14ac:dyDescent="0.2">
      <c r="A99" s="71">
        <f t="shared" si="28"/>
        <v>13</v>
      </c>
      <c r="B99" s="74">
        <f t="shared" si="29"/>
        <v>11.125</v>
      </c>
      <c r="C99" s="72">
        <f t="shared" si="30"/>
        <v>0</v>
      </c>
      <c r="D99" s="70">
        <f t="shared" si="31"/>
        <v>174.10266323024052</v>
      </c>
      <c r="E99" s="70">
        <f t="shared" si="37"/>
        <v>16.666666666666668</v>
      </c>
      <c r="F99" s="72">
        <f t="shared" si="32"/>
        <v>0.22000000000000003</v>
      </c>
      <c r="G99" s="70">
        <f t="shared" si="38"/>
        <v>16.666666666666668</v>
      </c>
      <c r="H99" s="72">
        <f t="shared" si="33"/>
        <v>16.666666666666668</v>
      </c>
      <c r="I99" s="73">
        <f t="shared" si="39"/>
        <v>7.5000000000000002E-7</v>
      </c>
      <c r="J99" s="80">
        <f t="shared" si="44"/>
        <v>6.745502760113245E-5</v>
      </c>
      <c r="K99" s="214">
        <f t="shared" si="40"/>
        <v>6.745502760113245E-2</v>
      </c>
      <c r="L99" s="164">
        <f t="shared" si="41"/>
        <v>1</v>
      </c>
      <c r="M99" s="71">
        <f t="shared" si="34"/>
        <v>83.333333333333343</v>
      </c>
      <c r="N99" s="71">
        <f t="shared" si="42"/>
        <v>2.34375E-5</v>
      </c>
      <c r="O99" s="71">
        <f t="shared" si="43"/>
        <v>31.250000000000004</v>
      </c>
      <c r="P99" s="71">
        <f t="shared" si="35"/>
        <v>0.52500000000000002</v>
      </c>
      <c r="Q99" s="71">
        <f t="shared" si="36"/>
        <v>0.30000000000000004</v>
      </c>
    </row>
    <row r="100" spans="1:17" x14ac:dyDescent="0.2">
      <c r="A100" s="71">
        <f t="shared" si="28"/>
        <v>13</v>
      </c>
      <c r="B100" s="74">
        <f t="shared" si="29"/>
        <v>11.25</v>
      </c>
      <c r="C100" s="72">
        <f t="shared" si="30"/>
        <v>0</v>
      </c>
      <c r="D100" s="70">
        <f t="shared" si="31"/>
        <v>173.92766323024051</v>
      </c>
      <c r="E100" s="70">
        <f t="shared" si="37"/>
        <v>16.666666666666668</v>
      </c>
      <c r="F100" s="72">
        <f t="shared" si="32"/>
        <v>0.22000000000000003</v>
      </c>
      <c r="G100" s="70">
        <f t="shared" si="38"/>
        <v>16.666666666666668</v>
      </c>
      <c r="H100" s="72">
        <f t="shared" si="33"/>
        <v>16.666666666666668</v>
      </c>
      <c r="I100" s="73">
        <f t="shared" si="39"/>
        <v>7.5000000000000002E-7</v>
      </c>
      <c r="J100" s="80">
        <f t="shared" si="44"/>
        <v>6.8205027601132454E-5</v>
      </c>
      <c r="K100" s="214">
        <f t="shared" si="40"/>
        <v>6.8205027601132451E-2</v>
      </c>
      <c r="L100" s="164">
        <f t="shared" si="41"/>
        <v>1</v>
      </c>
      <c r="M100" s="71">
        <f t="shared" si="34"/>
        <v>83.333333333333343</v>
      </c>
      <c r="N100" s="71">
        <f t="shared" si="42"/>
        <v>2.1875E-5</v>
      </c>
      <c r="O100" s="71">
        <f t="shared" si="43"/>
        <v>29.166666666666668</v>
      </c>
      <c r="P100" s="71">
        <f t="shared" si="35"/>
        <v>0.49000000000000005</v>
      </c>
      <c r="Q100" s="71">
        <f t="shared" si="36"/>
        <v>0.28000000000000003</v>
      </c>
    </row>
    <row r="101" spans="1:17" x14ac:dyDescent="0.2">
      <c r="A101" s="71">
        <f t="shared" si="28"/>
        <v>13</v>
      </c>
      <c r="B101" s="74">
        <f t="shared" si="29"/>
        <v>11.375</v>
      </c>
      <c r="C101" s="72">
        <f t="shared" si="30"/>
        <v>0</v>
      </c>
      <c r="D101" s="70">
        <f t="shared" si="31"/>
        <v>173.7526632302405</v>
      </c>
      <c r="E101" s="70">
        <f t="shared" si="37"/>
        <v>16.666666666666668</v>
      </c>
      <c r="F101" s="72">
        <f t="shared" si="32"/>
        <v>0.22000000000000003</v>
      </c>
      <c r="G101" s="70">
        <f t="shared" si="38"/>
        <v>16.666666666666668</v>
      </c>
      <c r="H101" s="72">
        <f t="shared" si="33"/>
        <v>16.666666666666668</v>
      </c>
      <c r="I101" s="73">
        <f t="shared" si="39"/>
        <v>7.5000000000000002E-7</v>
      </c>
      <c r="J101" s="80">
        <f t="shared" si="44"/>
        <v>6.8955027601132459E-5</v>
      </c>
      <c r="K101" s="214">
        <f t="shared" si="40"/>
        <v>6.8955027601132465E-2</v>
      </c>
      <c r="L101" s="164">
        <f t="shared" si="41"/>
        <v>1</v>
      </c>
      <c r="M101" s="71">
        <f t="shared" si="34"/>
        <v>83.333333333333343</v>
      </c>
      <c r="N101" s="71">
        <f t="shared" si="42"/>
        <v>2.0312500000000002E-5</v>
      </c>
      <c r="O101" s="71">
        <f t="shared" si="43"/>
        <v>27.083333333333336</v>
      </c>
      <c r="P101" s="71">
        <f t="shared" si="35"/>
        <v>0.45500000000000007</v>
      </c>
      <c r="Q101" s="71">
        <f t="shared" si="36"/>
        <v>0.26000000000000006</v>
      </c>
    </row>
    <row r="102" spans="1:17" x14ac:dyDescent="0.2">
      <c r="A102" s="71">
        <f t="shared" si="28"/>
        <v>13</v>
      </c>
      <c r="B102" s="74">
        <f t="shared" si="29"/>
        <v>11.5</v>
      </c>
      <c r="C102" s="72">
        <f t="shared" si="30"/>
        <v>0</v>
      </c>
      <c r="D102" s="70">
        <f t="shared" si="31"/>
        <v>173.57766323024052</v>
      </c>
      <c r="E102" s="70">
        <f t="shared" si="37"/>
        <v>16.666666666666668</v>
      </c>
      <c r="F102" s="72">
        <f t="shared" si="32"/>
        <v>0.22000000000000003</v>
      </c>
      <c r="G102" s="70">
        <f t="shared" si="38"/>
        <v>16.666666666666668</v>
      </c>
      <c r="H102" s="72">
        <f t="shared" si="33"/>
        <v>16.666666666666668</v>
      </c>
      <c r="I102" s="73">
        <f t="shared" si="39"/>
        <v>7.5000000000000002E-7</v>
      </c>
      <c r="J102" s="80">
        <f t="shared" si="44"/>
        <v>6.9705027601132464E-5</v>
      </c>
      <c r="K102" s="214">
        <f t="shared" si="40"/>
        <v>6.9705027601132466E-2</v>
      </c>
      <c r="L102" s="164">
        <f t="shared" si="41"/>
        <v>1</v>
      </c>
      <c r="M102" s="71">
        <f t="shared" si="34"/>
        <v>83.333333333333343</v>
      </c>
      <c r="N102" s="71">
        <f t="shared" si="42"/>
        <v>1.8750000000000002E-5</v>
      </c>
      <c r="O102" s="71">
        <f t="shared" si="43"/>
        <v>25</v>
      </c>
      <c r="P102" s="71">
        <f t="shared" si="35"/>
        <v>0.42000000000000004</v>
      </c>
      <c r="Q102" s="71">
        <f t="shared" si="36"/>
        <v>0.24000000000000005</v>
      </c>
    </row>
    <row r="103" spans="1:17" x14ac:dyDescent="0.2">
      <c r="A103" s="71">
        <f t="shared" si="28"/>
        <v>13</v>
      </c>
      <c r="B103" s="74">
        <f t="shared" si="29"/>
        <v>11.625</v>
      </c>
      <c r="C103" s="72">
        <f t="shared" si="30"/>
        <v>0</v>
      </c>
      <c r="D103" s="70">
        <f t="shared" si="31"/>
        <v>173.40266323024051</v>
      </c>
      <c r="E103" s="70">
        <f t="shared" si="37"/>
        <v>16.666666666666668</v>
      </c>
      <c r="F103" s="72">
        <f t="shared" si="32"/>
        <v>0.22000000000000003</v>
      </c>
      <c r="G103" s="70">
        <f t="shared" si="38"/>
        <v>16.666666666666668</v>
      </c>
      <c r="H103" s="72">
        <f t="shared" si="33"/>
        <v>16.666666666666668</v>
      </c>
      <c r="I103" s="73">
        <f t="shared" si="39"/>
        <v>7.5000000000000002E-7</v>
      </c>
      <c r="J103" s="80">
        <f t="shared" si="44"/>
        <v>7.0455027601132468E-5</v>
      </c>
      <c r="K103" s="214">
        <f t="shared" si="40"/>
        <v>7.0455027601132467E-2</v>
      </c>
      <c r="L103" s="164">
        <f t="shared" si="41"/>
        <v>1</v>
      </c>
      <c r="M103" s="71">
        <f t="shared" si="34"/>
        <v>83.333333333333343</v>
      </c>
      <c r="N103" s="71">
        <f t="shared" si="42"/>
        <v>1.7187500000000001E-5</v>
      </c>
      <c r="O103" s="71">
        <f t="shared" si="43"/>
        <v>22.916666666666668</v>
      </c>
      <c r="P103" s="71">
        <f t="shared" si="35"/>
        <v>0.38500000000000001</v>
      </c>
      <c r="Q103" s="71">
        <f t="shared" si="36"/>
        <v>0.22000000000000003</v>
      </c>
    </row>
    <row r="104" spans="1:17" x14ac:dyDescent="0.2">
      <c r="A104" s="71">
        <f t="shared" si="28"/>
        <v>13</v>
      </c>
      <c r="B104" s="74">
        <f t="shared" si="29"/>
        <v>11.75</v>
      </c>
      <c r="C104" s="72">
        <f t="shared" si="30"/>
        <v>0</v>
      </c>
      <c r="D104" s="70">
        <f t="shared" si="31"/>
        <v>173.22766323024052</v>
      </c>
      <c r="E104" s="70">
        <f t="shared" si="37"/>
        <v>16.666666666666668</v>
      </c>
      <c r="F104" s="72">
        <f t="shared" si="32"/>
        <v>0.22000000000000003</v>
      </c>
      <c r="G104" s="70">
        <f t="shared" si="38"/>
        <v>16.666666666666668</v>
      </c>
      <c r="H104" s="72">
        <f t="shared" si="33"/>
        <v>16.666666666666668</v>
      </c>
      <c r="I104" s="73">
        <f t="shared" si="39"/>
        <v>7.5000000000000002E-7</v>
      </c>
      <c r="J104" s="80">
        <f t="shared" si="44"/>
        <v>7.1205027601132473E-5</v>
      </c>
      <c r="K104" s="214">
        <f t="shared" si="40"/>
        <v>7.1205027601132467E-2</v>
      </c>
      <c r="L104" s="164">
        <f t="shared" si="41"/>
        <v>1</v>
      </c>
      <c r="M104" s="71">
        <f t="shared" si="34"/>
        <v>83.333333333333343</v>
      </c>
      <c r="N104" s="71">
        <f t="shared" si="42"/>
        <v>1.5625E-5</v>
      </c>
      <c r="O104" s="71">
        <f t="shared" si="43"/>
        <v>20.833333333333336</v>
      </c>
      <c r="P104" s="71">
        <f t="shared" si="35"/>
        <v>0.35000000000000003</v>
      </c>
      <c r="Q104" s="71">
        <f t="shared" si="36"/>
        <v>0.20000000000000004</v>
      </c>
    </row>
    <row r="105" spans="1:17" x14ac:dyDescent="0.2">
      <c r="A105" s="71">
        <f t="shared" si="28"/>
        <v>13</v>
      </c>
      <c r="B105" s="74">
        <f t="shared" si="29"/>
        <v>11.875</v>
      </c>
      <c r="C105" s="72">
        <f t="shared" si="30"/>
        <v>0</v>
      </c>
      <c r="D105" s="70">
        <f t="shared" si="31"/>
        <v>173.05266323024051</v>
      </c>
      <c r="E105" s="70">
        <f t="shared" si="37"/>
        <v>16.666666666666668</v>
      </c>
      <c r="F105" s="72">
        <f t="shared" si="32"/>
        <v>0.22000000000000003</v>
      </c>
      <c r="G105" s="70">
        <f t="shared" si="38"/>
        <v>16.666666666666668</v>
      </c>
      <c r="H105" s="72">
        <f t="shared" si="33"/>
        <v>16.666666666666668</v>
      </c>
      <c r="I105" s="73">
        <f t="shared" si="39"/>
        <v>7.5000000000000002E-7</v>
      </c>
      <c r="J105" s="80">
        <f t="shared" si="44"/>
        <v>7.1955027601132478E-5</v>
      </c>
      <c r="K105" s="214">
        <f t="shared" si="40"/>
        <v>7.1955027601132482E-2</v>
      </c>
      <c r="L105" s="164">
        <f t="shared" si="41"/>
        <v>1</v>
      </c>
      <c r="M105" s="71">
        <f t="shared" si="34"/>
        <v>83.333333333333343</v>
      </c>
      <c r="N105" s="71">
        <f t="shared" si="42"/>
        <v>1.4062500000000001E-5</v>
      </c>
      <c r="O105" s="71">
        <f t="shared" si="43"/>
        <v>18.75</v>
      </c>
      <c r="P105" s="71">
        <f t="shared" si="35"/>
        <v>0.31500000000000006</v>
      </c>
      <c r="Q105" s="71">
        <f t="shared" si="36"/>
        <v>0.18000000000000005</v>
      </c>
    </row>
    <row r="106" spans="1:17" x14ac:dyDescent="0.2">
      <c r="A106" s="71">
        <f t="shared" ref="A106:A114" si="45">VINMAX</f>
        <v>13</v>
      </c>
      <c r="B106" s="74">
        <f t="shared" ref="B106:B114" si="46">VINMAX*((ROW()-10)/104)</f>
        <v>12</v>
      </c>
      <c r="C106" s="72">
        <f t="shared" ref="C106:C110" si="47">IF(B106&gt;=$H$2,IF($D$2="CC", $G$2, B106/$G$2), 0)</f>
        <v>6</v>
      </c>
      <c r="D106" s="70">
        <f t="shared" ref="D106:D110" si="48">$B$2-B106*$J$2/($I$2*0.001)</f>
        <v>172.8776632302405</v>
      </c>
      <c r="E106" s="70">
        <f t="shared" si="37"/>
        <v>16.666666666666668</v>
      </c>
      <c r="F106" s="72">
        <f t="shared" ref="F106:F110" si="49">I_Cout_ss+C106</f>
        <v>6.22</v>
      </c>
      <c r="G106" s="70">
        <f t="shared" si="38"/>
        <v>16.666666666666668</v>
      </c>
      <c r="H106" s="72">
        <f t="shared" ref="H106:H110" si="50">G106-C106</f>
        <v>10.666666666666668</v>
      </c>
      <c r="I106" s="73">
        <f t="shared" si="39"/>
        <v>1.1718749999999999E-6</v>
      </c>
      <c r="J106" s="80">
        <f t="shared" si="44"/>
        <v>7.3126902601132484E-5</v>
      </c>
      <c r="K106" s="214">
        <f t="shared" si="40"/>
        <v>7.3126902601132485E-2</v>
      </c>
      <c r="L106" s="164">
        <f t="shared" si="41"/>
        <v>0.64</v>
      </c>
      <c r="M106" s="71">
        <f t="shared" ref="M106:M114" si="51">1/COUTMAX*(E106/2-C106)*1000</f>
        <v>23.333333333333343</v>
      </c>
      <c r="N106" s="71">
        <f t="shared" si="42"/>
        <v>1.953125E-5</v>
      </c>
      <c r="O106" s="71">
        <f t="shared" si="43"/>
        <v>16.666666666666668</v>
      </c>
      <c r="P106" s="71">
        <f t="shared" ref="P106:P114" si="52">(A106-B106)*(I_Cout_ss*$Q$2+C106)</f>
        <v>6.28</v>
      </c>
      <c r="Q106" s="71">
        <f t="shared" ref="Q106:Q114" si="53">(A106-B106)*(I_Cout_ss*$R$2+C106)</f>
        <v>6.16</v>
      </c>
    </row>
    <row r="107" spans="1:17" x14ac:dyDescent="0.2">
      <c r="A107" s="71">
        <f t="shared" si="45"/>
        <v>13</v>
      </c>
      <c r="B107" s="74">
        <f t="shared" si="46"/>
        <v>12.125</v>
      </c>
      <c r="C107" s="72">
        <f t="shared" si="47"/>
        <v>6</v>
      </c>
      <c r="D107" s="70">
        <f t="shared" si="48"/>
        <v>172.70266323024052</v>
      </c>
      <c r="E107" s="70">
        <f t="shared" si="37"/>
        <v>16.666666666666668</v>
      </c>
      <c r="F107" s="72">
        <f t="shared" si="49"/>
        <v>6.22</v>
      </c>
      <c r="G107" s="70">
        <f t="shared" si="38"/>
        <v>16.666666666666668</v>
      </c>
      <c r="H107" s="72">
        <f t="shared" si="50"/>
        <v>10.666666666666668</v>
      </c>
      <c r="I107" s="73">
        <f t="shared" ref="I107:I110" si="54">(COUTMAX/1000000)*(B107-B106)/H107</f>
        <v>1.1718749999999999E-6</v>
      </c>
      <c r="J107" s="80">
        <f t="shared" si="44"/>
        <v>7.4298777601132491E-5</v>
      </c>
      <c r="K107" s="214">
        <f t="shared" si="40"/>
        <v>7.4298777601132487E-2</v>
      </c>
      <c r="L107" s="164">
        <f t="shared" si="41"/>
        <v>0.64</v>
      </c>
      <c r="M107" s="71">
        <f t="shared" si="51"/>
        <v>23.333333333333343</v>
      </c>
      <c r="N107" s="71">
        <f t="shared" si="42"/>
        <v>1.7089843750000002E-5</v>
      </c>
      <c r="O107" s="71">
        <f t="shared" si="43"/>
        <v>14.583333333333334</v>
      </c>
      <c r="P107" s="71">
        <f t="shared" si="52"/>
        <v>5.4950000000000001</v>
      </c>
      <c r="Q107" s="71">
        <f t="shared" si="53"/>
        <v>5.3900000000000006</v>
      </c>
    </row>
    <row r="108" spans="1:17" x14ac:dyDescent="0.2">
      <c r="A108" s="71">
        <f t="shared" si="45"/>
        <v>13</v>
      </c>
      <c r="B108" s="74">
        <f t="shared" si="46"/>
        <v>12.25</v>
      </c>
      <c r="C108" s="72">
        <f t="shared" si="47"/>
        <v>6</v>
      </c>
      <c r="D108" s="70">
        <f t="shared" si="48"/>
        <v>172.52766323024051</v>
      </c>
      <c r="E108" s="70">
        <f t="shared" si="37"/>
        <v>16.666666666666668</v>
      </c>
      <c r="F108" s="72">
        <f t="shared" si="49"/>
        <v>6.22</v>
      </c>
      <c r="G108" s="70">
        <f t="shared" si="38"/>
        <v>16.666666666666668</v>
      </c>
      <c r="H108" s="72">
        <f t="shared" si="50"/>
        <v>10.666666666666668</v>
      </c>
      <c r="I108" s="73">
        <f t="shared" si="54"/>
        <v>1.1718749999999999E-6</v>
      </c>
      <c r="J108" s="80">
        <f t="shared" si="44"/>
        <v>7.5470652601132497E-5</v>
      </c>
      <c r="K108" s="214">
        <f t="shared" si="40"/>
        <v>7.5470652601132504E-2</v>
      </c>
      <c r="L108" s="164">
        <f t="shared" si="41"/>
        <v>0.64</v>
      </c>
      <c r="M108" s="71">
        <f t="shared" si="51"/>
        <v>23.333333333333343</v>
      </c>
      <c r="N108" s="71">
        <f t="shared" si="42"/>
        <v>1.4648437499999999E-5</v>
      </c>
      <c r="O108" s="71">
        <f t="shared" si="43"/>
        <v>12.5</v>
      </c>
      <c r="P108" s="71">
        <f t="shared" si="52"/>
        <v>4.71</v>
      </c>
      <c r="Q108" s="71">
        <f t="shared" si="53"/>
        <v>4.62</v>
      </c>
    </row>
    <row r="109" spans="1:17" x14ac:dyDescent="0.2">
      <c r="A109" s="71">
        <f t="shared" si="45"/>
        <v>13</v>
      </c>
      <c r="B109" s="74">
        <f t="shared" si="46"/>
        <v>12.375</v>
      </c>
      <c r="C109" s="72">
        <f t="shared" si="47"/>
        <v>6</v>
      </c>
      <c r="D109" s="70">
        <f t="shared" si="48"/>
        <v>172.35266323024052</v>
      </c>
      <c r="E109" s="70">
        <f t="shared" si="37"/>
        <v>16.666666666666668</v>
      </c>
      <c r="F109" s="72">
        <f t="shared" si="49"/>
        <v>6.22</v>
      </c>
      <c r="G109" s="70">
        <f t="shared" si="38"/>
        <v>16.666666666666668</v>
      </c>
      <c r="H109" s="72">
        <f t="shared" si="50"/>
        <v>10.666666666666668</v>
      </c>
      <c r="I109" s="73">
        <f t="shared" si="54"/>
        <v>1.1718749999999999E-6</v>
      </c>
      <c r="J109" s="80">
        <f t="shared" si="44"/>
        <v>7.6642527601132504E-5</v>
      </c>
      <c r="K109" s="214">
        <f t="shared" si="40"/>
        <v>7.6642527601132507E-2</v>
      </c>
      <c r="L109" s="164">
        <f t="shared" si="41"/>
        <v>0.64</v>
      </c>
      <c r="M109" s="71">
        <f t="shared" si="51"/>
        <v>23.333333333333343</v>
      </c>
      <c r="N109" s="71">
        <f t="shared" si="42"/>
        <v>1.2207031250000001E-5</v>
      </c>
      <c r="O109" s="71">
        <f t="shared" si="43"/>
        <v>10.416666666666668</v>
      </c>
      <c r="P109" s="71">
        <f t="shared" si="52"/>
        <v>3.9250000000000003</v>
      </c>
      <c r="Q109" s="71">
        <f t="shared" si="53"/>
        <v>3.85</v>
      </c>
    </row>
    <row r="110" spans="1:17" x14ac:dyDescent="0.2">
      <c r="A110" s="71">
        <f t="shared" si="45"/>
        <v>13</v>
      </c>
      <c r="B110" s="74">
        <f t="shared" si="46"/>
        <v>12.5</v>
      </c>
      <c r="C110" s="72">
        <f t="shared" si="47"/>
        <v>6</v>
      </c>
      <c r="D110" s="70">
        <f t="shared" si="48"/>
        <v>172.17766323024051</v>
      </c>
      <c r="E110" s="70">
        <f t="shared" si="37"/>
        <v>16.666666666666668</v>
      </c>
      <c r="F110" s="72">
        <f t="shared" si="49"/>
        <v>6.22</v>
      </c>
      <c r="G110" s="70">
        <f t="shared" si="38"/>
        <v>16.666666666666668</v>
      </c>
      <c r="H110" s="72">
        <f t="shared" si="50"/>
        <v>10.666666666666668</v>
      </c>
      <c r="I110" s="73">
        <f t="shared" si="54"/>
        <v>1.1718749999999999E-6</v>
      </c>
      <c r="J110" s="80">
        <f t="shared" si="44"/>
        <v>7.781440260113251E-5</v>
      </c>
      <c r="K110" s="214">
        <f t="shared" si="40"/>
        <v>7.781440260113251E-2</v>
      </c>
      <c r="L110" s="164">
        <f t="shared" si="41"/>
        <v>0.64</v>
      </c>
      <c r="M110" s="71">
        <f t="shared" si="51"/>
        <v>23.333333333333343</v>
      </c>
      <c r="N110" s="71">
        <f t="shared" si="42"/>
        <v>9.7656250000000002E-6</v>
      </c>
      <c r="O110" s="71">
        <f t="shared" si="43"/>
        <v>8.3333333333333339</v>
      </c>
      <c r="P110" s="71">
        <f t="shared" si="52"/>
        <v>3.14</v>
      </c>
      <c r="Q110" s="71">
        <f t="shared" si="53"/>
        <v>3.08</v>
      </c>
    </row>
    <row r="111" spans="1:17" x14ac:dyDescent="0.2">
      <c r="A111" s="71">
        <f t="shared" si="45"/>
        <v>13</v>
      </c>
      <c r="B111" s="74">
        <f t="shared" si="46"/>
        <v>12.625</v>
      </c>
      <c r="C111" s="72">
        <f>IF(B111&gt;=$H$2,IF($D$2="CC", $G$2, B111/$G$2), 0)</f>
        <v>6</v>
      </c>
      <c r="D111" s="70">
        <f>$B$2-B111*$J$2/($I$2*0.001)</f>
        <v>172.0026632302405</v>
      </c>
      <c r="E111" s="70">
        <f>$C$2</f>
        <v>16.666666666666668</v>
      </c>
      <c r="F111" s="72">
        <f>I_Cout_ss+C111</f>
        <v>6.22</v>
      </c>
      <c r="G111" s="70">
        <f>IF($F$2="YES", F111, E111)</f>
        <v>16.666666666666668</v>
      </c>
      <c r="H111" s="72">
        <f>G111-C111</f>
        <v>10.666666666666668</v>
      </c>
      <c r="I111" s="73">
        <f>(COUTMAX/1000000)*(B111-B110)/H111</f>
        <v>1.1718749999999999E-6</v>
      </c>
      <c r="J111" s="80">
        <f>J110+I111</f>
        <v>7.8986277601132517E-5</v>
      </c>
      <c r="K111" s="214">
        <f t="shared" si="40"/>
        <v>7.8986277601132512E-2</v>
      </c>
      <c r="L111" s="164">
        <f>H111/G111</f>
        <v>0.64</v>
      </c>
      <c r="M111" s="71">
        <f t="shared" si="51"/>
        <v>23.333333333333343</v>
      </c>
      <c r="N111" s="71">
        <f>I111*G111*(A111-B111)</f>
        <v>7.3242187499999997E-6</v>
      </c>
      <c r="O111" s="71">
        <f t="shared" si="43"/>
        <v>6.25</v>
      </c>
      <c r="P111" s="71">
        <f t="shared" si="52"/>
        <v>2.355</v>
      </c>
      <c r="Q111" s="71">
        <f t="shared" si="53"/>
        <v>2.31</v>
      </c>
    </row>
    <row r="112" spans="1:17" x14ac:dyDescent="0.2">
      <c r="A112" s="71">
        <f t="shared" si="45"/>
        <v>13</v>
      </c>
      <c r="B112" s="74">
        <f t="shared" si="46"/>
        <v>12.75</v>
      </c>
      <c r="C112" s="72">
        <f>IF(B112&gt;=$H$2,IF($D$2="CC", $G$2, B112/$G$2), 0)</f>
        <v>6</v>
      </c>
      <c r="D112" s="70">
        <f t="shared" ref="D112:D113" si="55">$B$2-B112*$J$2/($I$2*0.001)</f>
        <v>171.82766323024052</v>
      </c>
      <c r="E112" s="70">
        <f>$C$2</f>
        <v>16.666666666666668</v>
      </c>
      <c r="F112" s="72">
        <f t="shared" ref="F112:F113" si="56">I_Cout_ss+C112</f>
        <v>6.22</v>
      </c>
      <c r="G112" s="70">
        <f t="shared" ref="G112:G113" si="57">IF($F$2="YES", F112, E112)</f>
        <v>16.666666666666668</v>
      </c>
      <c r="H112" s="72">
        <f t="shared" ref="H112:H113" si="58">G112-C112</f>
        <v>10.666666666666668</v>
      </c>
      <c r="I112" s="73">
        <f t="shared" ref="I112:I113" si="59">(COUTMAX/1000000)*(B112-B111)/H112</f>
        <v>1.1718749999999999E-6</v>
      </c>
      <c r="J112" s="80">
        <f t="shared" ref="J112:J113" si="60">J111+I112</f>
        <v>8.0158152601132523E-5</v>
      </c>
      <c r="K112" s="214">
        <f t="shared" si="40"/>
        <v>8.0158152601132529E-2</v>
      </c>
      <c r="L112" s="164">
        <f t="shared" ref="L112:L113" si="61">H112/G112</f>
        <v>0.64</v>
      </c>
      <c r="M112" s="71">
        <f t="shared" si="51"/>
        <v>23.333333333333343</v>
      </c>
      <c r="N112" s="71">
        <f t="shared" ref="N112:N113" si="62">I112*G112*(A112-B112)</f>
        <v>4.8828125000000001E-6</v>
      </c>
      <c r="O112" s="71">
        <f t="shared" si="43"/>
        <v>4.166666666666667</v>
      </c>
      <c r="P112" s="71">
        <f t="shared" si="52"/>
        <v>1.57</v>
      </c>
      <c r="Q112" s="71">
        <f t="shared" si="53"/>
        <v>1.54</v>
      </c>
    </row>
    <row r="113" spans="1:17" x14ac:dyDescent="0.2">
      <c r="A113" s="71">
        <f t="shared" si="45"/>
        <v>13</v>
      </c>
      <c r="B113" s="74">
        <f t="shared" si="46"/>
        <v>12.875</v>
      </c>
      <c r="C113" s="72">
        <f>IF(B113&gt;=$H$2,IF($D$2="CC", $G$2, B113/$G$2), 0)</f>
        <v>6</v>
      </c>
      <c r="D113" s="70">
        <f t="shared" si="55"/>
        <v>171.65266323024051</v>
      </c>
      <c r="E113" s="70">
        <f>$C$2</f>
        <v>16.666666666666668</v>
      </c>
      <c r="F113" s="72">
        <f t="shared" si="56"/>
        <v>6.22</v>
      </c>
      <c r="G113" s="70">
        <f t="shared" si="57"/>
        <v>16.666666666666668</v>
      </c>
      <c r="H113" s="72">
        <f t="shared" si="58"/>
        <v>10.666666666666668</v>
      </c>
      <c r="I113" s="73">
        <f t="shared" si="59"/>
        <v>1.1718749999999999E-6</v>
      </c>
      <c r="J113" s="80">
        <f t="shared" si="60"/>
        <v>8.133002760113253E-5</v>
      </c>
      <c r="K113" s="214">
        <f t="shared" si="40"/>
        <v>8.1330027601132532E-2</v>
      </c>
      <c r="L113" s="164">
        <f t="shared" si="61"/>
        <v>0.64</v>
      </c>
      <c r="M113" s="71">
        <f t="shared" si="51"/>
        <v>23.333333333333343</v>
      </c>
      <c r="N113" s="71">
        <f t="shared" si="62"/>
        <v>2.4414062500000001E-6</v>
      </c>
      <c r="O113" s="71">
        <f t="shared" si="43"/>
        <v>2.0833333333333335</v>
      </c>
      <c r="P113" s="71">
        <f t="shared" si="52"/>
        <v>0.78500000000000003</v>
      </c>
      <c r="Q113" s="71">
        <f t="shared" si="53"/>
        <v>0.77</v>
      </c>
    </row>
    <row r="114" spans="1:17" x14ac:dyDescent="0.2">
      <c r="A114" s="71">
        <f t="shared" si="45"/>
        <v>13</v>
      </c>
      <c r="B114" s="74">
        <f t="shared" si="46"/>
        <v>13</v>
      </c>
      <c r="C114" s="72">
        <f>IF(B114&gt;=$H$2,IF($D$2="CC", $G$2, B114/$G$2), 0)</f>
        <v>6</v>
      </c>
      <c r="D114" s="70">
        <f t="shared" ref="D114" si="63">$B$2-B114*$J$2/($I$2*0.001)</f>
        <v>171.47766323024052</v>
      </c>
      <c r="E114" s="70">
        <f>$C$2</f>
        <v>16.666666666666668</v>
      </c>
      <c r="F114" s="72">
        <f t="shared" ref="F114" si="64">I_Cout_ss+C114</f>
        <v>6.22</v>
      </c>
      <c r="G114" s="70">
        <f t="shared" ref="G114" si="65">IF($F$2="YES", F114, E114)</f>
        <v>16.666666666666668</v>
      </c>
      <c r="H114" s="72">
        <f t="shared" ref="H114" si="66">G114-C114</f>
        <v>10.666666666666668</v>
      </c>
      <c r="I114" s="73">
        <f t="shared" ref="I114" si="67">(COUTMAX/1000000)*(B114-B113)/H114</f>
        <v>1.1718749999999999E-6</v>
      </c>
      <c r="J114" s="80">
        <f t="shared" ref="J114" si="68">J113+I114</f>
        <v>8.2501902601132536E-5</v>
      </c>
      <c r="K114" s="214">
        <f t="shared" si="40"/>
        <v>8.2501902601132535E-2</v>
      </c>
      <c r="L114" s="164">
        <f t="shared" ref="L114" si="69">H114/G114</f>
        <v>0.64</v>
      </c>
      <c r="M114" s="71">
        <f t="shared" si="51"/>
        <v>23.333333333333343</v>
      </c>
      <c r="N114" s="71">
        <f t="shared" ref="N114" si="70">I114*G114*(A114-B114)</f>
        <v>0</v>
      </c>
      <c r="O114" s="71">
        <f t="shared" si="43"/>
        <v>0</v>
      </c>
      <c r="P114" s="71">
        <f t="shared" si="52"/>
        <v>0</v>
      </c>
      <c r="Q114" s="71">
        <f t="shared" si="53"/>
        <v>0</v>
      </c>
    </row>
    <row r="115" spans="1:17" x14ac:dyDescent="0.2">
      <c r="K115" s="215">
        <f>K114+0.5</f>
        <v>0.58250190260113255</v>
      </c>
      <c r="N115" s="71">
        <v>0</v>
      </c>
      <c r="O115" s="71">
        <v>0</v>
      </c>
    </row>
  </sheetData>
  <mergeCells count="1">
    <mergeCell ref="X12:Y12"/>
  </mergeCells>
  <pageMargins left="0.7" right="0.7" top="0.75" bottom="0.75" header="0.3" footer="0.3"/>
  <pageSetup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V70"/>
  <sheetViews>
    <sheetView zoomScale="85" zoomScaleNormal="85" workbookViewId="0">
      <selection activeCell="H22" sqref="H22"/>
    </sheetView>
  </sheetViews>
  <sheetFormatPr baseColWidth="10" defaultColWidth="9.140625" defaultRowHeight="12.75" x14ac:dyDescent="0.2"/>
  <cols>
    <col min="1" max="1" width="19.7109375" customWidth="1"/>
    <col min="2" max="2" width="17.28515625" customWidth="1"/>
    <col min="3" max="3" width="13.28515625" customWidth="1"/>
    <col min="4" max="4" width="16" customWidth="1"/>
    <col min="5" max="6" width="17.7109375" customWidth="1"/>
    <col min="7" max="7" width="31.5703125" customWidth="1"/>
    <col min="8" max="8" width="20" customWidth="1"/>
    <col min="13" max="13" width="12.7109375" customWidth="1"/>
    <col min="15" max="15" width="17.28515625" customWidth="1"/>
    <col min="17" max="17" width="13.28515625" customWidth="1"/>
    <col min="18" max="18" width="16.7109375" customWidth="1"/>
    <col min="20" max="20" width="13" customWidth="1"/>
    <col min="21" max="21" width="10.28515625" customWidth="1"/>
  </cols>
  <sheetData>
    <row r="1" spans="1:22" x14ac:dyDescent="0.2">
      <c r="A1" s="255"/>
      <c r="B1" s="255"/>
      <c r="C1" s="257"/>
      <c r="D1" s="257"/>
      <c r="E1" s="257"/>
      <c r="F1" s="257"/>
      <c r="G1" s="257"/>
      <c r="H1" s="255"/>
      <c r="I1" s="255"/>
      <c r="J1" s="255"/>
      <c r="K1" s="255"/>
      <c r="L1" s="255"/>
      <c r="M1" s="255"/>
      <c r="N1" s="255"/>
      <c r="O1" s="255"/>
      <c r="P1" s="255"/>
      <c r="Q1" s="255"/>
      <c r="R1" s="255"/>
      <c r="S1" s="255"/>
      <c r="T1" s="255"/>
      <c r="U1" s="255"/>
      <c r="V1" s="255"/>
    </row>
    <row r="2" spans="1:22" x14ac:dyDescent="0.2">
      <c r="A2" s="262"/>
      <c r="B2" s="277"/>
      <c r="C2" s="378" t="s">
        <v>186</v>
      </c>
      <c r="D2" s="379"/>
      <c r="E2" s="379"/>
      <c r="F2" s="265"/>
      <c r="G2" s="265"/>
      <c r="H2" s="259" t="s">
        <v>207</v>
      </c>
      <c r="I2" s="257"/>
      <c r="J2" s="257"/>
      <c r="K2" s="257"/>
      <c r="L2" s="257"/>
      <c r="M2" s="257"/>
      <c r="N2" s="257"/>
      <c r="O2" s="263"/>
      <c r="P2" s="263"/>
      <c r="Q2" s="263"/>
      <c r="R2" s="263"/>
      <c r="S2" s="263"/>
      <c r="T2" s="263"/>
      <c r="U2" s="257"/>
      <c r="V2" s="257"/>
    </row>
    <row r="3" spans="1:22" x14ac:dyDescent="0.2">
      <c r="A3" s="262"/>
      <c r="B3" s="264" t="s">
        <v>246</v>
      </c>
      <c r="C3" s="264" t="s">
        <v>187</v>
      </c>
      <c r="D3" s="264" t="s">
        <v>188</v>
      </c>
      <c r="E3" s="264" t="s">
        <v>189</v>
      </c>
      <c r="F3" s="278" t="s">
        <v>403</v>
      </c>
      <c r="G3" s="268"/>
      <c r="H3" s="259" t="s">
        <v>205</v>
      </c>
      <c r="I3" s="265"/>
      <c r="J3" s="265"/>
      <c r="K3" s="265"/>
      <c r="L3" s="265"/>
      <c r="M3" s="265"/>
      <c r="N3" s="257"/>
      <c r="O3" s="265"/>
      <c r="P3" s="265"/>
      <c r="Q3" s="266"/>
      <c r="R3" s="266"/>
      <c r="S3" s="266"/>
      <c r="T3" s="266"/>
      <c r="U3" s="257"/>
      <c r="V3" s="257"/>
    </row>
    <row r="4" spans="1:22" ht="21.6" customHeight="1" x14ac:dyDescent="0.2">
      <c r="A4" s="264" t="s">
        <v>190</v>
      </c>
      <c r="B4" s="262">
        <f>'Design Calculator'!AN57</f>
        <v>300</v>
      </c>
      <c r="C4" s="267">
        <f>'Design Calculator'!$AN$58</f>
        <v>80</v>
      </c>
      <c r="D4" s="267">
        <f>'Design Calculator'!$AN$59</f>
        <v>30</v>
      </c>
      <c r="E4" s="267">
        <f>IF('Design Calculator'!$AN$60 = "NA", F4, 'Design Calculator'!$AN$60)</f>
        <v>20</v>
      </c>
      <c r="F4" s="267">
        <f>'Design Calculator'!AN61</f>
        <v>10</v>
      </c>
      <c r="G4" s="271"/>
      <c r="H4" s="259" t="s">
        <v>206</v>
      </c>
      <c r="I4" s="265"/>
      <c r="J4" s="265"/>
      <c r="K4" s="265"/>
      <c r="L4" s="266"/>
      <c r="M4" s="266"/>
      <c r="N4" s="257"/>
      <c r="O4" s="265"/>
      <c r="P4" s="265"/>
      <c r="Q4" s="266"/>
      <c r="R4" s="266"/>
      <c r="S4" s="266"/>
      <c r="T4" s="266"/>
      <c r="U4" s="257"/>
      <c r="V4" s="257"/>
    </row>
    <row r="5" spans="1:22" x14ac:dyDescent="0.2">
      <c r="A5" s="257"/>
      <c r="B5" s="255"/>
      <c r="C5" s="265"/>
      <c r="D5" s="266"/>
      <c r="E5" s="266"/>
      <c r="F5" s="266"/>
      <c r="G5" s="266"/>
      <c r="H5" s="257"/>
      <c r="I5" s="265"/>
      <c r="J5" s="265"/>
      <c r="K5" s="265"/>
      <c r="L5" s="266"/>
      <c r="M5" s="266"/>
      <c r="N5" s="380"/>
      <c r="O5" s="380"/>
      <c r="P5" s="380"/>
      <c r="Q5" s="266"/>
      <c r="R5" s="381"/>
      <c r="S5" s="382"/>
      <c r="T5" s="382"/>
      <c r="U5" s="257"/>
      <c r="V5" s="257"/>
    </row>
    <row r="6" spans="1:22" x14ac:dyDescent="0.2">
      <c r="A6" s="257"/>
      <c r="B6" s="255"/>
      <c r="C6" s="265"/>
      <c r="D6" s="266"/>
      <c r="E6" s="266"/>
      <c r="F6" s="266"/>
      <c r="G6" s="266"/>
      <c r="H6" s="257"/>
      <c r="I6" s="265"/>
      <c r="J6" s="265"/>
      <c r="K6" s="265"/>
      <c r="L6" s="266"/>
      <c r="M6" s="266"/>
      <c r="N6" s="257"/>
      <c r="O6" s="268"/>
      <c r="P6" s="257"/>
      <c r="Q6" s="257"/>
      <c r="R6" s="257"/>
      <c r="S6" s="257"/>
      <c r="T6" s="257"/>
      <c r="U6" s="257"/>
      <c r="V6" s="257"/>
    </row>
    <row r="7" spans="1:22" ht="15" x14ac:dyDescent="0.25">
      <c r="A7" s="257"/>
      <c r="B7" s="269" t="s">
        <v>398</v>
      </c>
      <c r="C7" s="255"/>
      <c r="D7" s="255"/>
      <c r="E7" s="255"/>
      <c r="F7" s="255"/>
      <c r="G7" s="276" t="s">
        <v>385</v>
      </c>
      <c r="H7" s="257"/>
      <c r="I7" s="255"/>
      <c r="J7" s="275"/>
      <c r="K7" s="266"/>
      <c r="L7" s="257"/>
      <c r="M7" s="257"/>
      <c r="N7" s="268"/>
      <c r="O7" s="268"/>
      <c r="P7" s="268"/>
      <c r="Q7" s="257"/>
      <c r="R7" s="257"/>
      <c r="S7" s="257"/>
      <c r="T7" s="270"/>
      <c r="U7" s="265"/>
      <c r="V7" s="257"/>
    </row>
    <row r="8" spans="1:22" ht="15" x14ac:dyDescent="0.25">
      <c r="A8" s="257"/>
      <c r="B8" s="259" t="s">
        <v>191</v>
      </c>
      <c r="C8" s="255">
        <f>IF('Design Calculator'!F72="No", 'Design Calculator'!$F$78,'Design Calculator'!F91)</f>
        <v>1.8888888888888888</v>
      </c>
      <c r="D8" s="259" t="s">
        <v>8</v>
      </c>
      <c r="E8" s="255"/>
      <c r="F8" s="255"/>
      <c r="G8" s="259" t="s">
        <v>191</v>
      </c>
      <c r="H8" s="255">
        <f>Equations!F70</f>
        <v>4.4287716760845863E-2</v>
      </c>
      <c r="I8" s="255"/>
      <c r="J8" s="274"/>
      <c r="K8" s="266"/>
      <c r="L8" s="257"/>
      <c r="M8" s="257"/>
      <c r="N8" s="268"/>
      <c r="O8" s="257"/>
      <c r="P8" s="270"/>
      <c r="Q8" s="257"/>
      <c r="R8" s="257"/>
      <c r="S8" s="257"/>
      <c r="T8" s="270"/>
      <c r="U8" s="265"/>
      <c r="V8" s="257"/>
    </row>
    <row r="9" spans="1:22" ht="15" x14ac:dyDescent="0.25">
      <c r="A9" s="257"/>
      <c r="B9" s="259" t="s">
        <v>192</v>
      </c>
      <c r="C9" s="255">
        <f>VINMAX</f>
        <v>13</v>
      </c>
      <c r="D9" s="255" t="s">
        <v>92</v>
      </c>
      <c r="E9" s="255"/>
      <c r="F9" s="255"/>
      <c r="G9" s="259" t="s">
        <v>192</v>
      </c>
      <c r="H9" s="255">
        <f>VINMAX</f>
        <v>13</v>
      </c>
      <c r="I9" s="255"/>
      <c r="J9" s="255"/>
      <c r="K9" s="266"/>
      <c r="L9" s="257"/>
      <c r="M9" s="257"/>
      <c r="N9" s="268"/>
      <c r="O9" s="257"/>
      <c r="P9" s="270"/>
      <c r="Q9" s="257"/>
      <c r="R9" s="257"/>
      <c r="S9" s="257"/>
      <c r="T9" s="270"/>
      <c r="U9" s="257"/>
      <c r="V9" s="257"/>
    </row>
    <row r="10" spans="1:22" ht="15" x14ac:dyDescent="0.25">
      <c r="A10" s="257"/>
      <c r="B10" s="259" t="s">
        <v>193</v>
      </c>
      <c r="C10" s="255">
        <f>IF(C8&lt;10, IF(C8&lt;1, 0.1, 1), IF(C8&lt;100, 10, 100))</f>
        <v>1</v>
      </c>
      <c r="D10" s="259" t="s">
        <v>8</v>
      </c>
      <c r="E10" s="255"/>
      <c r="F10" s="255"/>
      <c r="G10" s="259" t="s">
        <v>193</v>
      </c>
      <c r="H10" s="255">
        <f>IF(H8&lt;10, IF(H8&lt;1, 0.1, 1), IF(H8&lt;100, 10, 100))</f>
        <v>0.1</v>
      </c>
      <c r="I10" s="255"/>
      <c r="J10" s="255"/>
      <c r="K10" s="266"/>
      <c r="L10" s="257"/>
      <c r="M10" s="257"/>
      <c r="N10" s="268"/>
      <c r="O10" s="257"/>
      <c r="P10" s="270"/>
      <c r="Q10" s="257"/>
      <c r="R10" s="257"/>
      <c r="S10" s="257"/>
      <c r="T10" s="270"/>
      <c r="U10" s="257"/>
      <c r="V10" s="257"/>
    </row>
    <row r="11" spans="1:22" ht="15" x14ac:dyDescent="0.25">
      <c r="A11" s="257"/>
      <c r="B11" s="259" t="s">
        <v>481</v>
      </c>
      <c r="C11" s="255">
        <f>IF('Design Calculator'!F60="NA", MIN(SOA!C10,1),SOA!C10)</f>
        <v>1</v>
      </c>
      <c r="D11" s="259"/>
      <c r="E11" s="255"/>
      <c r="F11" s="255"/>
      <c r="G11" s="259" t="s">
        <v>481</v>
      </c>
      <c r="H11" s="255">
        <f>IF('Design Calculator'!F60="NA", MIN(SOA!H10,1),SOA!H10)</f>
        <v>0.1</v>
      </c>
      <c r="I11" s="255"/>
      <c r="J11" s="255"/>
      <c r="K11" s="266"/>
      <c r="L11" s="257"/>
      <c r="M11" s="257"/>
      <c r="N11" s="257"/>
      <c r="O11" s="257"/>
      <c r="P11" s="270"/>
      <c r="Q11" s="257"/>
      <c r="R11" s="257"/>
      <c r="S11" s="257"/>
      <c r="T11" s="257"/>
      <c r="U11" s="257"/>
      <c r="V11" s="257"/>
    </row>
    <row r="12" spans="1:22" x14ac:dyDescent="0.2">
      <c r="A12" s="257"/>
      <c r="B12" s="259" t="s">
        <v>194</v>
      </c>
      <c r="C12" s="255">
        <f>C10*10</f>
        <v>10</v>
      </c>
      <c r="D12" s="259" t="s">
        <v>8</v>
      </c>
      <c r="E12" s="255"/>
      <c r="F12" s="255"/>
      <c r="G12" s="259" t="s">
        <v>482</v>
      </c>
      <c r="H12" s="255">
        <f>H10*10</f>
        <v>1</v>
      </c>
      <c r="I12" s="255"/>
      <c r="J12" s="255"/>
      <c r="K12" s="266"/>
      <c r="L12" s="257"/>
      <c r="M12" s="257"/>
      <c r="N12" s="257"/>
      <c r="O12" s="257"/>
      <c r="P12" s="257"/>
      <c r="Q12" s="257"/>
      <c r="R12" s="257"/>
      <c r="S12" s="257"/>
      <c r="T12" s="257"/>
      <c r="U12" s="257"/>
      <c r="V12" s="257"/>
    </row>
    <row r="13" spans="1:22" x14ac:dyDescent="0.2">
      <c r="A13" s="257"/>
      <c r="B13" s="259" t="s">
        <v>483</v>
      </c>
      <c r="C13" s="255">
        <f>IF('Design Calculator'!F61="NA", MIN(SOA!C12,10),SOA!C12)</f>
        <v>10</v>
      </c>
      <c r="D13" s="259"/>
      <c r="E13" s="255"/>
      <c r="F13" s="255"/>
      <c r="G13" s="259" t="s">
        <v>483</v>
      </c>
      <c r="H13" s="255">
        <f>IF('Design Calculator'!F61="NA", MIN(SOA!H12,10),SOA!H12)</f>
        <v>1</v>
      </c>
      <c r="I13" s="255"/>
      <c r="J13" s="255"/>
      <c r="K13" s="266"/>
      <c r="L13" s="257"/>
      <c r="M13" s="257"/>
      <c r="N13" s="257"/>
      <c r="O13" s="257"/>
      <c r="P13" s="257"/>
      <c r="Q13" s="257"/>
      <c r="R13" s="257"/>
      <c r="S13" s="257"/>
      <c r="T13" s="257"/>
      <c r="U13" s="257"/>
      <c r="V13" s="257"/>
    </row>
    <row r="14" spans="1:22" x14ac:dyDescent="0.2">
      <c r="A14" s="257"/>
      <c r="B14" s="259" t="s">
        <v>195</v>
      </c>
      <c r="C14" s="255">
        <f>IF(C11=0.1, B4, IF(C11=1, C4, IF(C11=10, D4, E4)))</f>
        <v>80</v>
      </c>
      <c r="D14" s="259" t="s">
        <v>28</v>
      </c>
      <c r="E14" s="255"/>
      <c r="F14" s="255"/>
      <c r="G14" s="259" t="s">
        <v>195</v>
      </c>
      <c r="H14" s="255">
        <f>IF(H11=0.1, B4, IF(H11=1, C4, IF(H11=10, D4, E4)))</f>
        <v>300</v>
      </c>
      <c r="I14" s="255"/>
      <c r="J14" s="255"/>
      <c r="K14" s="266"/>
      <c r="L14" s="257"/>
      <c r="M14" s="257"/>
      <c r="N14" s="257"/>
      <c r="O14" s="257"/>
      <c r="P14" s="257"/>
      <c r="Q14" s="257"/>
      <c r="R14" s="257"/>
      <c r="S14" s="257"/>
      <c r="T14" s="257"/>
      <c r="U14" s="257"/>
      <c r="V14" s="257"/>
    </row>
    <row r="15" spans="1:22" x14ac:dyDescent="0.2">
      <c r="A15" s="257"/>
      <c r="B15" s="259" t="s">
        <v>196</v>
      </c>
      <c r="C15" s="255">
        <f>IF(C13=1000, F4, IF(C13=1, C4, IF(C13=10, D4, E4)))</f>
        <v>30</v>
      </c>
      <c r="D15" s="259" t="s">
        <v>28</v>
      </c>
      <c r="E15" s="255"/>
      <c r="F15" s="255"/>
      <c r="G15" s="259" t="s">
        <v>196</v>
      </c>
      <c r="H15" s="255">
        <f>IF(H13=1000, F4, IF(H13=1, C4, IF(H13=10, D4, E4)))</f>
        <v>80</v>
      </c>
      <c r="I15" s="255"/>
      <c r="J15" s="255"/>
      <c r="K15" s="266"/>
      <c r="L15" s="257"/>
      <c r="M15" s="257"/>
      <c r="N15" s="257"/>
      <c r="O15" s="257"/>
      <c r="P15" s="257"/>
      <c r="Q15" s="257"/>
      <c r="R15" s="257"/>
      <c r="S15" s="257"/>
      <c r="T15" s="257"/>
      <c r="U15" s="257"/>
      <c r="V15" s="257"/>
    </row>
    <row r="16" spans="1:22" x14ac:dyDescent="0.2">
      <c r="A16" s="257"/>
      <c r="B16" s="255"/>
      <c r="C16" s="255"/>
      <c r="D16" s="255"/>
      <c r="E16" s="255"/>
      <c r="F16" s="255"/>
      <c r="G16" s="255"/>
      <c r="H16" s="255"/>
      <c r="I16" s="255"/>
      <c r="J16" s="255"/>
      <c r="K16" s="266"/>
      <c r="L16" s="257"/>
      <c r="M16" s="257"/>
      <c r="N16" s="257"/>
      <c r="O16" s="257"/>
      <c r="P16" s="257"/>
      <c r="Q16" s="257"/>
      <c r="R16" s="257"/>
      <c r="S16" s="257"/>
      <c r="T16" s="257"/>
      <c r="U16" s="257"/>
      <c r="V16" s="257"/>
    </row>
    <row r="17" spans="1:22" x14ac:dyDescent="0.2">
      <c r="A17" s="257"/>
      <c r="B17" s="259" t="s">
        <v>200</v>
      </c>
      <c r="C17" s="255"/>
      <c r="D17" s="255"/>
      <c r="E17" s="255"/>
      <c r="F17" s="255"/>
      <c r="G17" s="259" t="s">
        <v>200</v>
      </c>
      <c r="H17" s="255"/>
      <c r="I17" s="255"/>
      <c r="J17" s="255"/>
      <c r="K17" s="266"/>
      <c r="L17" s="257"/>
      <c r="M17" s="257"/>
      <c r="N17" s="257"/>
      <c r="O17" s="257"/>
      <c r="P17" s="257"/>
      <c r="Q17" s="257"/>
      <c r="R17" s="257"/>
      <c r="S17" s="257"/>
      <c r="T17" s="257"/>
      <c r="U17" s="257"/>
      <c r="V17" s="257"/>
    </row>
    <row r="18" spans="1:22" x14ac:dyDescent="0.2">
      <c r="A18" s="257"/>
      <c r="B18" s="259" t="s">
        <v>197</v>
      </c>
      <c r="C18" s="255">
        <f>C14/C11^C19</f>
        <v>80</v>
      </c>
      <c r="D18" s="255"/>
      <c r="E18" s="255"/>
      <c r="F18" s="259"/>
      <c r="G18" s="259" t="s">
        <v>197</v>
      </c>
      <c r="H18" s="255">
        <f>H14/H11^H19</f>
        <v>80.000000000000014</v>
      </c>
      <c r="I18" s="255"/>
      <c r="J18" s="255"/>
      <c r="K18" s="255"/>
      <c r="L18" s="255"/>
      <c r="M18" s="255"/>
      <c r="N18" s="255"/>
      <c r="O18" s="280"/>
      <c r="P18" s="280"/>
      <c r="Q18" s="257"/>
      <c r="R18" s="257"/>
      <c r="S18" s="257"/>
      <c r="T18" s="257"/>
      <c r="U18" s="257"/>
      <c r="V18" s="257"/>
    </row>
    <row r="19" spans="1:22" x14ac:dyDescent="0.2">
      <c r="A19" s="257"/>
      <c r="B19" s="259" t="s">
        <v>198</v>
      </c>
      <c r="C19" s="255">
        <f>LOG(C14/C15)/LOG(C11/C13)</f>
        <v>-0.4259687322722811</v>
      </c>
      <c r="D19" s="255"/>
      <c r="E19" s="255"/>
      <c r="F19" s="259"/>
      <c r="G19" s="259" t="s">
        <v>198</v>
      </c>
      <c r="H19" s="255">
        <f>IF(H14=H15,0.000000000001,LOG(H14/H15)/LOG(H11/H13))</f>
        <v>-0.57403126772771884</v>
      </c>
      <c r="I19" s="259" t="s">
        <v>489</v>
      </c>
      <c r="J19" s="255"/>
      <c r="K19" s="266"/>
      <c r="L19" s="257"/>
      <c r="M19" s="280"/>
      <c r="N19" s="280"/>
      <c r="O19" s="257"/>
      <c r="P19" s="257"/>
      <c r="Q19" s="257"/>
      <c r="R19" s="257"/>
      <c r="S19" s="257"/>
      <c r="T19" s="257"/>
      <c r="U19" s="257"/>
      <c r="V19" s="257"/>
    </row>
    <row r="20" spans="1:22" x14ac:dyDescent="0.2">
      <c r="A20" s="257"/>
      <c r="B20" s="259" t="s">
        <v>199</v>
      </c>
      <c r="C20" s="255">
        <f>C18*C8^C19</f>
        <v>61.014729728002422</v>
      </c>
      <c r="D20" s="259" t="s">
        <v>28</v>
      </c>
      <c r="E20" s="255"/>
      <c r="F20" s="255"/>
      <c r="G20" s="259" t="s">
        <v>199</v>
      </c>
      <c r="H20" s="255">
        <f>H18*H8^H19</f>
        <v>478.8127491108832</v>
      </c>
      <c r="I20" s="255"/>
      <c r="J20" s="255"/>
      <c r="K20" s="266"/>
      <c r="L20" s="257"/>
      <c r="M20" s="268"/>
      <c r="N20" s="257"/>
      <c r="O20" s="257"/>
      <c r="P20" s="257"/>
      <c r="Q20" s="257"/>
      <c r="R20" s="257"/>
      <c r="S20" s="257"/>
      <c r="T20" s="257"/>
      <c r="U20" s="257"/>
      <c r="V20" s="257"/>
    </row>
    <row r="21" spans="1:22" x14ac:dyDescent="0.2">
      <c r="A21" s="257"/>
      <c r="B21" s="255"/>
      <c r="C21" s="255"/>
      <c r="D21" s="255"/>
      <c r="E21" s="255"/>
      <c r="F21" s="255"/>
      <c r="G21" s="255"/>
      <c r="H21" s="255"/>
      <c r="I21" s="255"/>
      <c r="J21" s="255"/>
      <c r="K21" s="266"/>
      <c r="L21" s="257"/>
      <c r="M21" s="257"/>
      <c r="N21" s="265"/>
      <c r="O21" s="257"/>
      <c r="P21" s="257"/>
      <c r="Q21" s="257"/>
      <c r="R21" s="257"/>
      <c r="S21" s="257"/>
      <c r="T21" s="257"/>
      <c r="U21" s="257"/>
      <c r="V21" s="257"/>
    </row>
    <row r="22" spans="1:22" x14ac:dyDescent="0.2">
      <c r="A22" s="257"/>
      <c r="B22" s="260" t="s">
        <v>202</v>
      </c>
      <c r="C22" s="255">
        <f xml:space="preserve"> C20*C9</f>
        <v>793.19148646403153</v>
      </c>
      <c r="D22" s="259"/>
      <c r="E22" s="255"/>
      <c r="F22" s="255"/>
      <c r="G22" s="260" t="s">
        <v>202</v>
      </c>
      <c r="H22" s="255">
        <f xml:space="preserve"> H20*H9</f>
        <v>6224.5657384414817</v>
      </c>
      <c r="I22" s="255"/>
      <c r="J22" s="255"/>
      <c r="K22" s="266"/>
      <c r="L22" s="257"/>
      <c r="M22" s="257"/>
      <c r="N22" s="257"/>
      <c r="O22" s="257"/>
      <c r="P22" s="257"/>
      <c r="Q22" s="257"/>
      <c r="R22" s="257"/>
      <c r="S22" s="257"/>
      <c r="T22" s="257"/>
      <c r="U22" s="257"/>
      <c r="V22" s="257"/>
    </row>
    <row r="23" spans="1:22" x14ac:dyDescent="0.2">
      <c r="A23" s="257"/>
      <c r="B23" s="255"/>
      <c r="C23" s="255"/>
      <c r="D23" s="255"/>
      <c r="E23" s="255"/>
      <c r="F23" s="255"/>
      <c r="G23" s="255"/>
      <c r="H23" s="255"/>
      <c r="I23" s="255"/>
      <c r="J23" s="255"/>
      <c r="K23" s="266"/>
      <c r="L23" s="257"/>
      <c r="M23" s="257"/>
      <c r="N23" s="257"/>
      <c r="O23" s="257"/>
      <c r="P23" s="257"/>
      <c r="Q23" s="257"/>
      <c r="R23" s="257"/>
      <c r="S23" s="257"/>
      <c r="T23" s="257"/>
      <c r="U23" s="257"/>
      <c r="V23" s="257"/>
    </row>
    <row r="24" spans="1:22" x14ac:dyDescent="0.2">
      <c r="A24" s="257"/>
      <c r="B24" s="255"/>
      <c r="C24" s="255"/>
      <c r="D24" s="255"/>
      <c r="E24" s="255"/>
      <c r="F24" s="255"/>
      <c r="G24" s="259" t="s">
        <v>406</v>
      </c>
      <c r="H24" s="255" t="str">
        <f>'Design Calculator'!F80</f>
        <v>Yes</v>
      </c>
      <c r="I24" s="255"/>
      <c r="J24" s="255"/>
      <c r="K24" s="266"/>
      <c r="L24" s="257"/>
      <c r="M24" s="257"/>
      <c r="N24" s="257"/>
      <c r="O24" s="265"/>
      <c r="P24" s="257"/>
      <c r="Q24" s="257"/>
      <c r="R24" s="257"/>
      <c r="S24" s="257"/>
      <c r="T24" s="257"/>
      <c r="U24" s="257"/>
      <c r="V24" s="257"/>
    </row>
    <row r="25" spans="1:22" x14ac:dyDescent="0.2">
      <c r="A25" s="257"/>
      <c r="B25" s="274" t="s">
        <v>208</v>
      </c>
      <c r="C25" s="255">
        <f>(TJMAX-TJ)/(TJMAX-25)</f>
        <v>0.66620000000000001</v>
      </c>
      <c r="D25" s="266"/>
      <c r="E25" s="266"/>
      <c r="F25" s="266"/>
      <c r="G25" s="259" t="s">
        <v>405</v>
      </c>
      <c r="H25" s="255">
        <f>IF(H24="Yes", TJ,TAMB)</f>
        <v>75.069999999999993</v>
      </c>
      <c r="I25" s="255"/>
      <c r="J25" s="255"/>
      <c r="K25" s="266"/>
      <c r="L25" s="257"/>
      <c r="M25" s="257"/>
      <c r="N25" s="257"/>
      <c r="O25" s="265"/>
      <c r="P25" s="257"/>
      <c r="Q25" s="257"/>
      <c r="R25" s="257"/>
      <c r="S25" s="257"/>
      <c r="T25" s="257"/>
      <c r="U25" s="257"/>
      <c r="V25" s="257"/>
    </row>
    <row r="26" spans="1:22" x14ac:dyDescent="0.2">
      <c r="A26" s="257"/>
      <c r="B26" s="272" t="s">
        <v>203</v>
      </c>
      <c r="C26" s="255">
        <f>IF((C22*C25)&lt;0,0.000000001,C22*C25)</f>
        <v>528.42416828233786</v>
      </c>
      <c r="D26" s="273" t="s">
        <v>93</v>
      </c>
      <c r="E26" s="266"/>
      <c r="F26" s="266"/>
      <c r="G26" s="255"/>
      <c r="H26" s="255"/>
      <c r="I26" s="255"/>
      <c r="J26" s="255"/>
      <c r="K26" s="266"/>
      <c r="L26" s="257"/>
      <c r="M26" s="257"/>
      <c r="N26" s="257"/>
      <c r="O26" s="257"/>
      <c r="P26" s="257"/>
      <c r="Q26" s="257"/>
      <c r="R26" s="257"/>
      <c r="S26" s="257"/>
      <c r="T26" s="257"/>
      <c r="U26" s="257"/>
      <c r="V26" s="257"/>
    </row>
    <row r="27" spans="1:22" x14ac:dyDescent="0.2">
      <c r="A27" s="257"/>
      <c r="B27" s="265"/>
      <c r="C27" s="265"/>
      <c r="D27" s="266"/>
      <c r="E27" s="266"/>
      <c r="F27" s="266"/>
      <c r="G27" s="274" t="s">
        <v>208</v>
      </c>
      <c r="H27" s="255">
        <f>(TJMAX-H25)/(TJMAX-25)</f>
        <v>0.66620000000000001</v>
      </c>
      <c r="I27" s="255"/>
      <c r="J27" s="255"/>
      <c r="K27" s="266"/>
      <c r="L27" s="257"/>
      <c r="M27" s="257"/>
      <c r="N27" s="257"/>
      <c r="O27" s="257"/>
      <c r="P27" s="257"/>
      <c r="Q27" s="257"/>
      <c r="R27" s="257"/>
      <c r="S27" s="257"/>
      <c r="T27" s="257"/>
      <c r="U27" s="257"/>
      <c r="V27" s="257"/>
    </row>
    <row r="28" spans="1:22" x14ac:dyDescent="0.2">
      <c r="A28" s="257"/>
      <c r="B28" s="265"/>
      <c r="C28" s="255"/>
      <c r="D28" s="266"/>
      <c r="E28" s="266"/>
      <c r="F28" s="266"/>
      <c r="G28" s="272" t="s">
        <v>203</v>
      </c>
      <c r="H28" s="255">
        <f>IF((H22*H27)&lt;0,0.000000001,H22*H27)</f>
        <v>4146.805694949715</v>
      </c>
      <c r="I28" s="255"/>
      <c r="J28" s="255"/>
      <c r="K28" s="266"/>
      <c r="L28" s="257"/>
      <c r="M28" s="257"/>
      <c r="N28" s="257"/>
      <c r="O28" s="257"/>
      <c r="P28" s="257"/>
      <c r="Q28" s="257"/>
      <c r="R28" s="257"/>
      <c r="S28" s="257"/>
      <c r="T28" s="257"/>
      <c r="U28" s="257"/>
      <c r="V28" s="257"/>
    </row>
    <row r="29" spans="1:22" x14ac:dyDescent="0.2">
      <c r="A29" s="257"/>
      <c r="B29" s="274" t="s">
        <v>437</v>
      </c>
      <c r="C29" s="255"/>
      <c r="D29" s="266"/>
      <c r="E29" s="266"/>
      <c r="F29" s="266"/>
      <c r="G29" s="255"/>
      <c r="H29" s="257"/>
      <c r="I29" s="271"/>
      <c r="J29" s="271"/>
      <c r="K29" s="271"/>
      <c r="L29" s="257"/>
      <c r="M29" s="257"/>
      <c r="N29" s="257"/>
      <c r="O29" s="257"/>
      <c r="P29" s="257"/>
      <c r="Q29" s="257"/>
      <c r="R29" s="257"/>
      <c r="S29" s="257"/>
      <c r="T29" s="257"/>
      <c r="U29" s="257"/>
      <c r="V29" s="257"/>
    </row>
    <row r="30" spans="1:22" x14ac:dyDescent="0.2">
      <c r="A30" s="257"/>
      <c r="B30" s="255"/>
      <c r="C30" s="269" t="s">
        <v>438</v>
      </c>
      <c r="D30" s="279" t="s">
        <v>439</v>
      </c>
      <c r="E30" s="279" t="s">
        <v>440</v>
      </c>
      <c r="F30" s="279" t="s">
        <v>441</v>
      </c>
      <c r="G30" s="266"/>
      <c r="H30" s="257"/>
      <c r="I30" s="271"/>
      <c r="J30" s="271"/>
      <c r="K30" s="271"/>
      <c r="L30" s="257"/>
      <c r="M30" s="257"/>
      <c r="N30" s="257"/>
      <c r="O30" s="257"/>
      <c r="P30" s="257"/>
      <c r="Q30" s="257"/>
      <c r="R30" s="257"/>
      <c r="S30" s="257"/>
      <c r="T30" s="257"/>
      <c r="U30" s="257"/>
      <c r="V30" s="257"/>
    </row>
    <row r="31" spans="1:22" x14ac:dyDescent="0.2">
      <c r="A31" s="255"/>
      <c r="B31" s="274" t="s">
        <v>442</v>
      </c>
      <c r="C31" s="261">
        <v>0.1</v>
      </c>
      <c r="D31" s="256">
        <v>1</v>
      </c>
      <c r="E31" s="266">
        <v>10</v>
      </c>
      <c r="F31" s="265">
        <v>100</v>
      </c>
      <c r="G31" s="276"/>
      <c r="H31" s="257"/>
      <c r="I31" s="257"/>
      <c r="J31" s="257"/>
      <c r="K31" s="257"/>
      <c r="L31" s="257"/>
      <c r="M31" s="257"/>
      <c r="N31" s="257"/>
      <c r="O31" s="257"/>
      <c r="P31" s="257"/>
      <c r="Q31" s="257"/>
      <c r="R31" s="257"/>
      <c r="S31" s="257"/>
      <c r="T31" s="257"/>
      <c r="U31" s="257"/>
      <c r="V31" s="257"/>
    </row>
    <row r="32" spans="1:22" x14ac:dyDescent="0.2">
      <c r="A32" s="255"/>
      <c r="B32" s="261" t="s">
        <v>443</v>
      </c>
      <c r="C32" s="256">
        <v>1</v>
      </c>
      <c r="D32" s="256">
        <v>10</v>
      </c>
      <c r="E32" s="266">
        <v>100</v>
      </c>
      <c r="F32" s="265">
        <v>1000</v>
      </c>
      <c r="G32" s="272"/>
      <c r="H32" s="257"/>
      <c r="I32" s="257"/>
      <c r="J32" s="257"/>
      <c r="K32" s="257"/>
      <c r="L32" s="257"/>
      <c r="M32" s="257"/>
      <c r="N32" s="257"/>
      <c r="O32" s="257"/>
      <c r="P32" s="257"/>
      <c r="Q32" s="257"/>
      <c r="R32" s="257"/>
      <c r="S32" s="257"/>
      <c r="T32" s="257"/>
      <c r="U32" s="257"/>
      <c r="V32" s="257"/>
    </row>
    <row r="33" spans="2:22" x14ac:dyDescent="0.2">
      <c r="B33" s="261" t="s">
        <v>197</v>
      </c>
      <c r="C33" s="256">
        <f>B4/(C31^C34)</f>
        <v>80.000000000000014</v>
      </c>
      <c r="D33" s="256">
        <f>C4/(D31^D34)</f>
        <v>80</v>
      </c>
      <c r="E33" s="256">
        <f>IF('Design Calculator'!F61="NA",D33,D4/(E31^E34))</f>
        <v>45</v>
      </c>
      <c r="F33" s="256">
        <f>IF('Design Calculator'!F61="NA", E33, E4/(F31^F34))</f>
        <v>80.000000000000014</v>
      </c>
      <c r="G33" s="259"/>
      <c r="H33" s="257"/>
      <c r="I33" s="257"/>
      <c r="J33" s="257"/>
      <c r="K33" s="257"/>
      <c r="L33" s="257"/>
      <c r="M33" s="257"/>
      <c r="N33" s="257"/>
      <c r="O33" s="257"/>
      <c r="P33" s="257"/>
      <c r="Q33" s="257"/>
      <c r="R33" s="257"/>
      <c r="S33" s="257"/>
      <c r="T33" s="257"/>
      <c r="U33" s="257"/>
      <c r="V33" s="257"/>
    </row>
    <row r="34" spans="2:22" x14ac:dyDescent="0.2">
      <c r="B34" s="261" t="s">
        <v>198</v>
      </c>
      <c r="C34" s="258">
        <f>LOG(B4/C4)/LOG(C31/C32)</f>
        <v>-0.57403126772771884</v>
      </c>
      <c r="D34" s="258">
        <f>LOG(C4/D4)/LOG(D31/D32)</f>
        <v>-0.4259687322722811</v>
      </c>
      <c r="E34" s="258">
        <f>IF('Design Calculator'!F61="NA", D34, LOG(D4/E4)/LOG(E31/E32))</f>
        <v>-0.17609125905568124</v>
      </c>
      <c r="F34" s="258">
        <f>IF('Design Calculator'!F61="NA",E34,LOG(E4/F4)/LOG(F31/F32))</f>
        <v>-0.3010299956639812</v>
      </c>
      <c r="G34" s="259"/>
      <c r="H34" s="257"/>
      <c r="I34" s="257"/>
      <c r="J34" s="257"/>
      <c r="K34" s="257"/>
      <c r="L34" s="257"/>
      <c r="M34" s="257"/>
      <c r="N34" s="257"/>
      <c r="O34" s="257"/>
      <c r="P34" s="257"/>
      <c r="Q34" s="257"/>
      <c r="R34" s="257"/>
      <c r="S34" s="257"/>
      <c r="T34" s="257"/>
      <c r="U34" s="257"/>
      <c r="V34" s="257"/>
    </row>
    <row r="35" spans="2:22" x14ac:dyDescent="0.2">
      <c r="B35" s="255"/>
      <c r="C35" s="255"/>
      <c r="D35" s="255"/>
      <c r="E35" s="266"/>
      <c r="F35" s="257"/>
      <c r="G35" s="259"/>
      <c r="H35" s="257"/>
      <c r="I35" s="257"/>
      <c r="J35" s="257"/>
      <c r="K35" s="257"/>
      <c r="L35" s="257"/>
      <c r="M35" s="257"/>
      <c r="N35" s="257"/>
      <c r="O35" s="257"/>
      <c r="P35" s="257"/>
      <c r="Q35" s="257"/>
      <c r="R35" s="257"/>
      <c r="S35" s="257"/>
      <c r="T35" s="257"/>
      <c r="U35" s="257"/>
      <c r="V35" s="257"/>
    </row>
    <row r="36" spans="2:22" ht="13.5" thickBot="1" x14ac:dyDescent="0.25">
      <c r="B36" s="136" t="s">
        <v>491</v>
      </c>
      <c r="C36" s="137"/>
      <c r="D36" s="255"/>
      <c r="E36" s="266"/>
      <c r="F36" s="257"/>
      <c r="G36" s="259"/>
      <c r="H36" s="257"/>
      <c r="I36" s="257"/>
      <c r="J36" s="257"/>
      <c r="K36" s="257"/>
      <c r="L36" s="257"/>
      <c r="M36" s="257"/>
      <c r="N36" s="257"/>
      <c r="O36" s="257"/>
      <c r="P36" s="257"/>
      <c r="Q36" s="257"/>
      <c r="R36" s="257"/>
      <c r="S36" s="257"/>
      <c r="T36" s="257"/>
      <c r="U36" s="257"/>
      <c r="V36" s="257"/>
    </row>
    <row r="37" spans="2:22" ht="14.25" x14ac:dyDescent="0.25">
      <c r="B37" s="138" t="s">
        <v>60</v>
      </c>
      <c r="C37" s="139" t="s">
        <v>124</v>
      </c>
      <c r="D37" s="255"/>
      <c r="E37" s="266"/>
      <c r="F37" s="257"/>
      <c r="G37" s="259"/>
      <c r="H37" s="257"/>
      <c r="I37" s="257"/>
      <c r="J37" s="257"/>
      <c r="K37" s="257"/>
      <c r="L37" s="257"/>
      <c r="M37" s="257"/>
      <c r="N37" s="257"/>
      <c r="O37" s="257"/>
      <c r="P37" s="257"/>
      <c r="Q37" s="257"/>
      <c r="R37" s="257"/>
      <c r="S37" s="257"/>
      <c r="T37" s="257"/>
      <c r="U37" s="257"/>
      <c r="V37" s="257"/>
    </row>
    <row r="38" spans="2:22" x14ac:dyDescent="0.2">
      <c r="B38" s="140" t="s">
        <v>9</v>
      </c>
      <c r="C38" s="141" t="s">
        <v>10</v>
      </c>
      <c r="D38" s="255"/>
      <c r="E38" s="266"/>
      <c r="F38" s="257"/>
      <c r="G38" s="259"/>
      <c r="H38" s="257"/>
      <c r="I38" s="257"/>
      <c r="J38" s="257"/>
      <c r="K38" s="257"/>
      <c r="L38" s="257"/>
      <c r="M38" s="257"/>
      <c r="N38" s="257"/>
      <c r="O38" s="257"/>
      <c r="P38" s="257"/>
      <c r="Q38" s="257"/>
      <c r="R38" s="257"/>
      <c r="S38" s="257"/>
      <c r="T38" s="257"/>
      <c r="U38" s="257"/>
      <c r="V38" s="257"/>
    </row>
    <row r="39" spans="2:22" x14ac:dyDescent="0.2">
      <c r="B39" s="142">
        <v>1</v>
      </c>
      <c r="C39" s="143">
        <f>SOA!$C$26/B39</f>
        <v>528.42416828233786</v>
      </c>
      <c r="D39" s="255"/>
      <c r="E39" s="266"/>
      <c r="F39" s="257"/>
      <c r="G39" s="255"/>
      <c r="H39" s="257"/>
      <c r="I39" s="257"/>
      <c r="J39" s="257"/>
      <c r="K39" s="257"/>
      <c r="L39" s="257"/>
      <c r="M39" s="257"/>
      <c r="N39" s="257"/>
      <c r="O39" s="257"/>
      <c r="P39" s="257"/>
      <c r="Q39" s="257"/>
      <c r="R39" s="257"/>
      <c r="S39" s="257"/>
      <c r="T39" s="257"/>
      <c r="U39" s="257"/>
      <c r="V39" s="257"/>
    </row>
    <row r="40" spans="2:22" x14ac:dyDescent="0.2">
      <c r="B40" s="142">
        <v>1.2</v>
      </c>
      <c r="C40" s="143">
        <f>SOA!$C$26/B40</f>
        <v>440.3534735686149</v>
      </c>
      <c r="D40" s="255"/>
      <c r="E40" s="266"/>
      <c r="F40" s="257"/>
      <c r="G40" s="259"/>
      <c r="H40" s="257"/>
      <c r="I40" s="257"/>
      <c r="J40" s="257"/>
      <c r="K40" s="257"/>
      <c r="L40" s="257"/>
      <c r="M40" s="257"/>
      <c r="N40" s="257"/>
      <c r="O40" s="257"/>
      <c r="P40" s="257"/>
      <c r="Q40" s="257"/>
      <c r="R40" s="257"/>
      <c r="S40" s="257"/>
      <c r="T40" s="257"/>
      <c r="U40" s="257"/>
      <c r="V40" s="257"/>
    </row>
    <row r="41" spans="2:22" x14ac:dyDescent="0.2">
      <c r="B41" s="142">
        <v>30</v>
      </c>
      <c r="C41" s="143">
        <f>SOA!$C$26/B41</f>
        <v>17.614138942744596</v>
      </c>
      <c r="D41" s="255"/>
      <c r="E41" s="266"/>
      <c r="F41" s="257"/>
      <c r="G41" s="255"/>
      <c r="H41" s="257"/>
      <c r="I41" s="257"/>
      <c r="J41" s="257"/>
      <c r="K41" s="257"/>
      <c r="L41" s="257"/>
      <c r="M41" s="257"/>
      <c r="N41" s="257"/>
      <c r="O41" s="257"/>
      <c r="P41" s="257"/>
      <c r="Q41" s="257"/>
      <c r="R41" s="257"/>
      <c r="S41" s="257"/>
      <c r="T41" s="257"/>
      <c r="U41" s="257"/>
      <c r="V41" s="257"/>
    </row>
    <row r="42" spans="2:22" x14ac:dyDescent="0.2">
      <c r="B42" s="142"/>
      <c r="C42" s="143"/>
      <c r="D42" s="255"/>
      <c r="E42" s="266"/>
      <c r="F42" s="257"/>
      <c r="G42" s="259"/>
      <c r="H42" s="257"/>
      <c r="I42" s="257"/>
      <c r="J42" s="257"/>
      <c r="K42" s="257"/>
      <c r="L42" s="257"/>
      <c r="M42" s="257"/>
      <c r="N42" s="257"/>
      <c r="O42" s="257"/>
      <c r="P42" s="257"/>
      <c r="Q42" s="257"/>
      <c r="R42" s="257"/>
      <c r="S42" s="257"/>
      <c r="T42" s="257"/>
      <c r="U42" s="257"/>
      <c r="V42" s="257"/>
    </row>
    <row r="43" spans="2:22" ht="13.5" thickBot="1" x14ac:dyDescent="0.25">
      <c r="B43" s="144"/>
      <c r="C43" s="145"/>
      <c r="D43" s="255"/>
      <c r="E43" s="266"/>
      <c r="F43" s="257"/>
      <c r="G43" s="259"/>
      <c r="H43" s="257"/>
      <c r="I43" s="257"/>
      <c r="J43" s="257"/>
      <c r="K43" s="257"/>
      <c r="L43" s="257"/>
      <c r="M43" s="257"/>
      <c r="N43" s="257"/>
      <c r="O43" s="257"/>
      <c r="P43" s="257"/>
      <c r="Q43" s="257"/>
      <c r="R43" s="257"/>
      <c r="S43" s="257"/>
      <c r="T43" s="257"/>
      <c r="U43" s="257"/>
      <c r="V43" s="257"/>
    </row>
    <row r="44" spans="2:22" x14ac:dyDescent="0.2">
      <c r="B44" s="255"/>
      <c r="C44" s="255"/>
      <c r="D44" s="255"/>
      <c r="E44" s="266"/>
      <c r="F44" s="257"/>
      <c r="G44" s="259"/>
      <c r="H44" s="257"/>
      <c r="I44" s="257"/>
      <c r="J44" s="257"/>
      <c r="K44" s="257"/>
      <c r="L44" s="257"/>
      <c r="M44" s="257"/>
      <c r="N44" s="257"/>
      <c r="O44" s="257"/>
      <c r="P44" s="257"/>
      <c r="Q44" s="257"/>
      <c r="R44" s="257"/>
      <c r="S44" s="257"/>
      <c r="T44" s="257"/>
      <c r="U44" s="257"/>
      <c r="V44" s="257"/>
    </row>
    <row r="45" spans="2:22" x14ac:dyDescent="0.2">
      <c r="B45" s="255"/>
      <c r="C45" s="255"/>
      <c r="D45" s="255"/>
      <c r="E45" s="266"/>
      <c r="F45" s="257"/>
      <c r="G45" s="255"/>
      <c r="H45" s="257"/>
      <c r="I45" s="257"/>
      <c r="J45" s="257"/>
      <c r="K45" s="257"/>
      <c r="L45" s="257"/>
      <c r="M45" s="257"/>
      <c r="N45" s="257"/>
      <c r="O45" s="257"/>
      <c r="P45" s="257"/>
      <c r="Q45" s="257"/>
      <c r="R45" s="257"/>
      <c r="S45" s="257"/>
      <c r="T45" s="257"/>
      <c r="U45" s="257"/>
      <c r="V45" s="257"/>
    </row>
    <row r="46" spans="2:22" x14ac:dyDescent="0.2">
      <c r="B46" s="255"/>
      <c r="C46" s="255"/>
      <c r="D46" s="255"/>
      <c r="E46" s="266"/>
      <c r="F46" s="257"/>
      <c r="G46" s="260"/>
      <c r="H46" s="257"/>
      <c r="I46" s="257"/>
      <c r="J46" s="257"/>
      <c r="K46" s="257"/>
      <c r="L46" s="257"/>
      <c r="M46" s="257"/>
      <c r="N46" s="257"/>
      <c r="O46" s="257"/>
      <c r="P46" s="257"/>
      <c r="Q46" s="257"/>
      <c r="R46" s="257"/>
      <c r="S46" s="257"/>
      <c r="T46" s="257"/>
      <c r="U46" s="257"/>
      <c r="V46" s="257"/>
    </row>
    <row r="47" spans="2:22" x14ac:dyDescent="0.2">
      <c r="B47" s="255"/>
      <c r="C47" s="255"/>
      <c r="D47" s="255"/>
      <c r="E47" s="266"/>
      <c r="F47" s="257"/>
      <c r="G47" s="255"/>
      <c r="H47" s="257"/>
      <c r="I47" s="257"/>
      <c r="J47" s="257"/>
      <c r="K47" s="257"/>
      <c r="L47" s="257"/>
      <c r="M47" s="257"/>
      <c r="N47" s="257"/>
      <c r="O47" s="257"/>
      <c r="P47" s="257"/>
      <c r="Q47" s="257"/>
      <c r="R47" s="257"/>
      <c r="S47" s="257"/>
      <c r="T47" s="257"/>
      <c r="U47" s="257"/>
      <c r="V47" s="257"/>
    </row>
    <row r="48" spans="2:22" x14ac:dyDescent="0.2">
      <c r="B48" s="255"/>
      <c r="C48" s="255"/>
      <c r="D48" s="255"/>
      <c r="E48" s="266"/>
      <c r="F48" s="257"/>
      <c r="G48" s="255"/>
      <c r="H48" s="257"/>
      <c r="I48" s="257"/>
      <c r="J48" s="257"/>
      <c r="K48" s="257"/>
      <c r="L48" s="257"/>
      <c r="M48" s="257"/>
      <c r="N48" s="257"/>
      <c r="O48" s="257"/>
      <c r="P48" s="257"/>
      <c r="Q48" s="257"/>
      <c r="R48" s="257"/>
      <c r="S48" s="257"/>
      <c r="T48" s="257"/>
      <c r="U48" s="257"/>
      <c r="V48" s="257"/>
    </row>
    <row r="49" spans="1:22" x14ac:dyDescent="0.2">
      <c r="A49" s="255"/>
      <c r="B49" s="255"/>
      <c r="C49" s="255"/>
      <c r="D49" s="255"/>
      <c r="E49" s="266"/>
      <c r="F49" s="257"/>
      <c r="G49" s="274"/>
      <c r="H49" s="257"/>
      <c r="I49" s="257"/>
      <c r="J49" s="257"/>
      <c r="K49" s="257"/>
      <c r="L49" s="257"/>
      <c r="M49" s="257"/>
      <c r="N49" s="257"/>
      <c r="O49" s="257"/>
      <c r="P49" s="257"/>
      <c r="Q49" s="257"/>
      <c r="R49" s="257"/>
      <c r="S49" s="257"/>
      <c r="T49" s="257"/>
      <c r="U49" s="257"/>
      <c r="V49" s="257"/>
    </row>
    <row r="50" spans="1:22" x14ac:dyDescent="0.2">
      <c r="A50" s="255"/>
      <c r="B50" s="255"/>
      <c r="C50" s="255"/>
      <c r="D50" s="255"/>
      <c r="E50" s="266"/>
      <c r="F50" s="257"/>
      <c r="G50" s="272"/>
      <c r="H50" s="257"/>
      <c r="I50" s="257"/>
      <c r="J50" s="257"/>
      <c r="K50" s="257"/>
      <c r="L50" s="257"/>
      <c r="M50" s="257"/>
      <c r="N50" s="257"/>
      <c r="O50" s="257"/>
      <c r="P50" s="257"/>
      <c r="Q50" s="257"/>
      <c r="R50" s="257"/>
      <c r="S50" s="257"/>
      <c r="T50" s="257"/>
      <c r="U50" s="257"/>
      <c r="V50" s="257"/>
    </row>
    <row r="51" spans="1:22" x14ac:dyDescent="0.2">
      <c r="A51" s="255"/>
      <c r="B51" s="255"/>
      <c r="C51" s="255"/>
      <c r="D51" s="255"/>
      <c r="E51" s="266"/>
      <c r="F51" s="266"/>
      <c r="G51" s="266"/>
      <c r="H51" s="257"/>
      <c r="I51" s="257"/>
      <c r="J51" s="257"/>
      <c r="K51" s="257"/>
      <c r="L51" s="257"/>
      <c r="M51" s="257"/>
      <c r="N51" s="257"/>
      <c r="O51" s="257"/>
      <c r="P51" s="257"/>
      <c r="Q51" s="257"/>
      <c r="R51" s="257"/>
      <c r="S51" s="257"/>
      <c r="T51" s="257"/>
      <c r="U51" s="257"/>
      <c r="V51" s="257"/>
    </row>
    <row r="52" spans="1:22" x14ac:dyDescent="0.2">
      <c r="A52" s="255"/>
      <c r="B52" s="255"/>
      <c r="C52" s="255"/>
      <c r="D52" s="255"/>
      <c r="E52" s="266"/>
      <c r="F52" s="266"/>
      <c r="G52" s="266"/>
      <c r="H52" s="257"/>
      <c r="I52" s="257"/>
      <c r="J52" s="257"/>
      <c r="K52" s="257"/>
      <c r="L52" s="257"/>
      <c r="M52" s="257"/>
      <c r="N52" s="257"/>
      <c r="O52" s="257"/>
      <c r="P52" s="257"/>
      <c r="Q52" s="257"/>
      <c r="R52" s="257"/>
      <c r="S52" s="257"/>
      <c r="T52" s="257"/>
      <c r="U52" s="257"/>
      <c r="V52" s="257"/>
    </row>
    <row r="53" spans="1:22" x14ac:dyDescent="0.2">
      <c r="A53" s="257"/>
      <c r="B53" s="257"/>
      <c r="C53" s="265"/>
      <c r="D53" s="266"/>
      <c r="E53" s="266"/>
      <c r="F53" s="266"/>
      <c r="G53" s="266"/>
      <c r="H53" s="257"/>
      <c r="I53" s="257"/>
      <c r="J53" s="257"/>
      <c r="K53" s="257"/>
      <c r="L53" s="257"/>
      <c r="M53" s="257"/>
      <c r="N53" s="257"/>
      <c r="O53" s="257"/>
      <c r="P53" s="257"/>
      <c r="Q53" s="257"/>
      <c r="R53" s="257"/>
      <c r="S53" s="257"/>
      <c r="T53" s="257"/>
      <c r="U53" s="257"/>
      <c r="V53" s="257"/>
    </row>
    <row r="54" spans="1:22" x14ac:dyDescent="0.2">
      <c r="A54" s="257"/>
      <c r="B54" s="257"/>
      <c r="C54" s="265"/>
      <c r="D54" s="266"/>
      <c r="E54" s="266"/>
      <c r="F54" s="266"/>
      <c r="G54" s="266"/>
      <c r="H54" s="257"/>
      <c r="I54" s="257"/>
      <c r="J54" s="257"/>
      <c r="K54" s="257"/>
      <c r="L54" s="257"/>
      <c r="M54" s="257"/>
      <c r="N54" s="257"/>
      <c r="O54" s="257"/>
      <c r="P54" s="257"/>
      <c r="Q54" s="257"/>
      <c r="R54" s="257"/>
      <c r="S54" s="257"/>
      <c r="T54" s="257"/>
      <c r="U54" s="257"/>
      <c r="V54" s="257"/>
    </row>
    <row r="55" spans="1:22" x14ac:dyDescent="0.2">
      <c r="A55" s="257"/>
      <c r="B55" s="257"/>
      <c r="C55" s="265"/>
      <c r="D55" s="266"/>
      <c r="E55" s="266"/>
      <c r="F55" s="266"/>
      <c r="G55" s="266"/>
      <c r="H55" s="257"/>
      <c r="I55" s="257"/>
      <c r="J55" s="257"/>
      <c r="K55" s="257"/>
      <c r="L55" s="257"/>
      <c r="M55" s="257"/>
      <c r="N55" s="257"/>
      <c r="O55" s="257"/>
      <c r="P55" s="257"/>
      <c r="Q55" s="257"/>
      <c r="R55" s="257"/>
      <c r="S55" s="257"/>
      <c r="T55" s="257"/>
      <c r="U55" s="257"/>
      <c r="V55" s="257"/>
    </row>
    <row r="56" spans="1:22" x14ac:dyDescent="0.2">
      <c r="A56" s="257"/>
      <c r="B56" s="257"/>
      <c r="C56" s="265"/>
      <c r="D56" s="266"/>
      <c r="E56" s="266"/>
      <c r="F56" s="266"/>
      <c r="G56" s="266"/>
      <c r="H56" s="257"/>
      <c r="I56" s="255"/>
      <c r="J56" s="255"/>
      <c r="K56" s="255"/>
      <c r="L56" s="255"/>
      <c r="M56" s="255"/>
      <c r="N56" s="255"/>
      <c r="O56" s="255"/>
      <c r="P56" s="255"/>
      <c r="Q56" s="255"/>
      <c r="R56" s="255"/>
      <c r="S56" s="255"/>
      <c r="T56" s="255"/>
      <c r="U56" s="255"/>
      <c r="V56" s="255"/>
    </row>
    <row r="57" spans="1:22" x14ac:dyDescent="0.2">
      <c r="A57" s="257"/>
      <c r="B57" s="257"/>
      <c r="C57" s="265"/>
      <c r="D57" s="266"/>
      <c r="E57" s="266"/>
      <c r="F57" s="266"/>
      <c r="G57" s="266"/>
      <c r="H57" s="255"/>
      <c r="I57" s="255"/>
      <c r="J57" s="255"/>
      <c r="K57" s="255"/>
      <c r="L57" s="255"/>
      <c r="M57" s="255"/>
      <c r="N57" s="255"/>
      <c r="O57" s="255"/>
      <c r="P57" s="255"/>
      <c r="Q57" s="255"/>
      <c r="R57" s="255"/>
      <c r="S57" s="255"/>
      <c r="T57" s="255"/>
      <c r="U57" s="255"/>
      <c r="V57" s="255"/>
    </row>
    <row r="58" spans="1:22" x14ac:dyDescent="0.2">
      <c r="A58" s="257"/>
      <c r="B58" s="257"/>
      <c r="C58" s="265"/>
      <c r="D58" s="266"/>
      <c r="E58" s="266"/>
      <c r="F58" s="266"/>
      <c r="G58" s="266"/>
      <c r="H58" s="255"/>
      <c r="I58" s="255"/>
      <c r="J58" s="255"/>
      <c r="K58" s="255"/>
      <c r="L58" s="255"/>
      <c r="M58" s="255"/>
      <c r="N58" s="255"/>
      <c r="O58" s="255"/>
      <c r="P58" s="255"/>
      <c r="Q58" s="255"/>
      <c r="R58" s="255"/>
      <c r="S58" s="255"/>
      <c r="T58" s="255"/>
      <c r="U58" s="255"/>
      <c r="V58" s="255"/>
    </row>
    <row r="59" spans="1:22" x14ac:dyDescent="0.2">
      <c r="A59" s="257"/>
      <c r="B59" s="257"/>
      <c r="C59" s="265"/>
      <c r="D59" s="266"/>
      <c r="E59" s="266"/>
      <c r="F59" s="266"/>
      <c r="G59" s="266"/>
      <c r="H59" s="255"/>
      <c r="I59" s="255"/>
      <c r="J59" s="255"/>
      <c r="K59" s="255"/>
      <c r="L59" s="255"/>
      <c r="M59" s="255"/>
      <c r="N59" s="255"/>
      <c r="O59" s="255"/>
      <c r="P59" s="255"/>
      <c r="Q59" s="255"/>
      <c r="R59" s="255"/>
      <c r="S59" s="255"/>
      <c r="T59" s="255"/>
      <c r="U59" s="255"/>
      <c r="V59" s="255"/>
    </row>
    <row r="60" spans="1:22" x14ac:dyDescent="0.2">
      <c r="A60" s="257"/>
      <c r="B60" s="257"/>
      <c r="C60" s="265"/>
      <c r="D60" s="266"/>
      <c r="E60" s="266"/>
      <c r="F60" s="266"/>
      <c r="G60" s="266"/>
      <c r="H60" s="255"/>
      <c r="I60" s="255"/>
      <c r="J60" s="255"/>
      <c r="K60" s="255"/>
      <c r="L60" s="255"/>
      <c r="M60" s="255"/>
      <c r="N60" s="255"/>
      <c r="O60" s="255"/>
      <c r="P60" s="255"/>
      <c r="Q60" s="255"/>
      <c r="R60" s="255"/>
      <c r="S60" s="255"/>
      <c r="T60" s="255"/>
      <c r="U60" s="255"/>
      <c r="V60" s="255"/>
    </row>
    <row r="61" spans="1:22" x14ac:dyDescent="0.2">
      <c r="A61" s="257"/>
      <c r="B61" s="257"/>
      <c r="C61" s="265"/>
      <c r="D61" s="266"/>
      <c r="E61" s="266"/>
      <c r="F61" s="266"/>
      <c r="G61" s="266"/>
      <c r="H61" s="255"/>
      <c r="I61" s="255"/>
      <c r="J61" s="255"/>
      <c r="K61" s="255"/>
      <c r="L61" s="255"/>
      <c r="M61" s="255"/>
      <c r="N61" s="255"/>
      <c r="O61" s="255"/>
      <c r="P61" s="255"/>
      <c r="Q61" s="255"/>
      <c r="R61" s="255"/>
      <c r="S61" s="255"/>
      <c r="T61" s="255"/>
      <c r="U61" s="255"/>
      <c r="V61" s="255"/>
    </row>
    <row r="62" spans="1:22" x14ac:dyDescent="0.2">
      <c r="A62" s="257"/>
      <c r="B62" s="257"/>
      <c r="C62" s="265"/>
      <c r="D62" s="266"/>
      <c r="E62" s="266"/>
      <c r="F62" s="266"/>
      <c r="G62" s="266"/>
      <c r="H62" s="255"/>
      <c r="I62" s="255"/>
      <c r="J62" s="255"/>
      <c r="K62" s="255"/>
      <c r="L62" s="255"/>
      <c r="M62" s="255"/>
      <c r="N62" s="255"/>
      <c r="O62" s="255"/>
      <c r="P62" s="255"/>
      <c r="Q62" s="255"/>
      <c r="R62" s="255"/>
      <c r="S62" s="255"/>
      <c r="T62" s="255"/>
      <c r="U62" s="255"/>
      <c r="V62" s="255"/>
    </row>
    <row r="63" spans="1:22" x14ac:dyDescent="0.2">
      <c r="A63" s="257"/>
      <c r="B63" s="257"/>
      <c r="C63" s="265"/>
      <c r="D63" s="266"/>
      <c r="E63" s="266"/>
      <c r="F63" s="266"/>
      <c r="G63" s="266"/>
      <c r="H63" s="255"/>
      <c r="I63" s="255"/>
      <c r="J63" s="255"/>
      <c r="K63" s="255"/>
      <c r="L63" s="255"/>
      <c r="M63" s="255"/>
      <c r="N63" s="255"/>
      <c r="O63" s="255"/>
      <c r="P63" s="255"/>
      <c r="Q63" s="255"/>
      <c r="R63" s="255"/>
      <c r="S63" s="255"/>
      <c r="T63" s="255"/>
      <c r="U63" s="255"/>
      <c r="V63" s="255"/>
    </row>
    <row r="64" spans="1:22" x14ac:dyDescent="0.2">
      <c r="A64" s="257"/>
      <c r="B64" s="257"/>
      <c r="C64" s="265"/>
      <c r="D64" s="266"/>
      <c r="E64" s="266"/>
      <c r="F64" s="266"/>
      <c r="G64" s="266"/>
      <c r="H64" s="255"/>
      <c r="I64" s="255"/>
      <c r="J64" s="255"/>
      <c r="K64" s="255"/>
      <c r="L64" s="255"/>
      <c r="M64" s="255"/>
      <c r="N64" s="255"/>
      <c r="O64" s="255"/>
      <c r="P64" s="255"/>
      <c r="Q64" s="255"/>
      <c r="R64" s="255"/>
      <c r="S64" s="255"/>
      <c r="T64" s="255"/>
      <c r="U64" s="255"/>
      <c r="V64" s="255"/>
    </row>
    <row r="65" spans="1:7" x14ac:dyDescent="0.2">
      <c r="A65" s="257"/>
      <c r="B65" s="257"/>
      <c r="C65" s="265"/>
      <c r="D65" s="266"/>
      <c r="E65" s="266"/>
      <c r="F65" s="266"/>
      <c r="G65" s="266"/>
    </row>
    <row r="66" spans="1:7" x14ac:dyDescent="0.2">
      <c r="A66" s="257"/>
      <c r="B66" s="257"/>
      <c r="C66" s="265"/>
      <c r="D66" s="266"/>
      <c r="E66" s="266"/>
      <c r="F66" s="266"/>
      <c r="G66" s="266"/>
    </row>
    <row r="67" spans="1:7" x14ac:dyDescent="0.2">
      <c r="A67" s="257"/>
      <c r="B67" s="257"/>
      <c r="C67" s="265"/>
      <c r="D67" s="266"/>
      <c r="E67" s="266"/>
      <c r="F67" s="266"/>
      <c r="G67" s="266"/>
    </row>
    <row r="68" spans="1:7" x14ac:dyDescent="0.2">
      <c r="A68" s="257"/>
      <c r="B68" s="257"/>
      <c r="C68" s="265"/>
      <c r="D68" s="266"/>
      <c r="E68" s="266"/>
      <c r="F68" s="266"/>
      <c r="G68" s="266"/>
    </row>
    <row r="69" spans="1:7" x14ac:dyDescent="0.2">
      <c r="A69" s="257"/>
      <c r="B69" s="257"/>
      <c r="C69" s="265"/>
      <c r="D69" s="266"/>
      <c r="E69" s="266"/>
      <c r="F69" s="266"/>
      <c r="G69" s="266"/>
    </row>
    <row r="70" spans="1:7" x14ac:dyDescent="0.2">
      <c r="A70" s="257"/>
      <c r="B70" s="257"/>
      <c r="C70" s="255"/>
      <c r="D70" s="255"/>
      <c r="E70" s="255"/>
      <c r="F70" s="255"/>
      <c r="G70" s="255"/>
    </row>
  </sheetData>
  <mergeCells count="3">
    <mergeCell ref="C2:E2"/>
    <mergeCell ref="N5:P5"/>
    <mergeCell ref="R5:T5"/>
  </mergeCells>
  <pageMargins left="0.7" right="0.7" top="0.75" bottom="0.75" header="0.3" footer="0.3"/>
  <pageSetup orientation="portrait" horizontalDpi="1200" verticalDpi="1200"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C5:Y59"/>
  <sheetViews>
    <sheetView topLeftCell="C1" zoomScale="85" zoomScaleNormal="85" workbookViewId="0">
      <selection activeCell="G15" sqref="G15"/>
    </sheetView>
  </sheetViews>
  <sheetFormatPr baseColWidth="10" defaultColWidth="9.140625" defaultRowHeight="12.75" x14ac:dyDescent="0.2"/>
  <cols>
    <col min="4" max="4" width="37.42578125" customWidth="1"/>
    <col min="5" max="5" width="15.7109375" customWidth="1"/>
    <col min="9" max="9" width="13.28515625" customWidth="1"/>
    <col min="10" max="10" width="11.7109375" customWidth="1"/>
    <col min="11" max="11" width="11.42578125" customWidth="1"/>
    <col min="12" max="12" width="15" customWidth="1"/>
    <col min="13" max="13" width="13.7109375" customWidth="1"/>
  </cols>
  <sheetData>
    <row r="5" spans="3:4" x14ac:dyDescent="0.2">
      <c r="C5" s="246" t="s">
        <v>416</v>
      </c>
      <c r="D5" s="243"/>
    </row>
    <row r="7" spans="3:4" x14ac:dyDescent="0.2">
      <c r="C7" s="246" t="s">
        <v>417</v>
      </c>
      <c r="D7" s="243"/>
    </row>
    <row r="8" spans="3:4" x14ac:dyDescent="0.2">
      <c r="C8" s="246" t="s">
        <v>418</v>
      </c>
      <c r="D8" s="243"/>
    </row>
    <row r="10" spans="3:4" x14ac:dyDescent="0.2">
      <c r="C10" s="246" t="s">
        <v>419</v>
      </c>
      <c r="D10" s="243"/>
    </row>
    <row r="11" spans="3:4" x14ac:dyDescent="0.2">
      <c r="C11" s="246" t="s">
        <v>486</v>
      </c>
      <c r="D11" s="243"/>
    </row>
    <row r="12" spans="3:4" x14ac:dyDescent="0.2">
      <c r="C12" s="246" t="s">
        <v>487</v>
      </c>
      <c r="D12" s="243"/>
    </row>
    <row r="13" spans="3:4" x14ac:dyDescent="0.2">
      <c r="C13" s="246" t="s">
        <v>488</v>
      </c>
      <c r="D13" s="243"/>
    </row>
    <row r="14" spans="3:4" x14ac:dyDescent="0.2">
      <c r="C14" s="246" t="s">
        <v>430</v>
      </c>
      <c r="D14" s="246" t="s">
        <v>431</v>
      </c>
    </row>
    <row r="15" spans="3:4" ht="12" customHeight="1" x14ac:dyDescent="0.2">
      <c r="C15" s="246"/>
      <c r="D15" s="246" t="s">
        <v>433</v>
      </c>
    </row>
    <row r="16" spans="3:4" ht="12" customHeight="1" x14ac:dyDescent="0.2">
      <c r="C16" s="246"/>
      <c r="D16" s="246"/>
    </row>
    <row r="17" spans="3:13" ht="12" customHeight="1" x14ac:dyDescent="0.2">
      <c r="C17" s="246"/>
      <c r="D17" s="246"/>
      <c r="E17" s="243"/>
      <c r="F17" s="243"/>
      <c r="G17" s="243"/>
      <c r="H17" s="243"/>
      <c r="I17" s="243"/>
      <c r="J17" s="243"/>
      <c r="K17" s="243"/>
      <c r="L17" s="243"/>
      <c r="M17" s="243"/>
    </row>
    <row r="18" spans="3:13" ht="12" customHeight="1" x14ac:dyDescent="0.2">
      <c r="C18" s="246"/>
      <c r="D18" s="250" t="s">
        <v>448</v>
      </c>
      <c r="E18" s="243"/>
      <c r="F18" s="243"/>
      <c r="G18" s="243"/>
      <c r="H18" s="243"/>
      <c r="I18" s="243"/>
      <c r="J18" s="243"/>
      <c r="K18" s="243"/>
      <c r="L18" s="243"/>
      <c r="M18" s="243"/>
    </row>
    <row r="19" spans="3:13" x14ac:dyDescent="0.2">
      <c r="C19" s="246"/>
      <c r="D19" s="246" t="s">
        <v>446</v>
      </c>
      <c r="E19" s="243">
        <f>SOA!H25</f>
        <v>75.069999999999993</v>
      </c>
      <c r="F19" s="243"/>
      <c r="G19" s="243"/>
      <c r="H19" s="243"/>
      <c r="I19" s="243"/>
      <c r="J19" s="243"/>
      <c r="K19" s="243"/>
      <c r="L19" s="243"/>
      <c r="M19" s="243"/>
    </row>
    <row r="20" spans="3:13" x14ac:dyDescent="0.2">
      <c r="C20" s="243"/>
      <c r="D20" s="246" t="s">
        <v>428</v>
      </c>
      <c r="E20" s="243">
        <v>1.3</v>
      </c>
      <c r="F20" s="243"/>
      <c r="G20" s="243"/>
      <c r="H20" s="243"/>
      <c r="I20" s="251" t="s">
        <v>437</v>
      </c>
      <c r="J20" s="243"/>
      <c r="K20" s="249"/>
      <c r="L20" s="249"/>
      <c r="M20" s="249"/>
    </row>
    <row r="21" spans="3:13" x14ac:dyDescent="0.2">
      <c r="C21" s="243"/>
      <c r="D21" s="246" t="s">
        <v>420</v>
      </c>
      <c r="E21" s="243">
        <f>1/2*COUTMAX*VINMAX^2*0.000001</f>
        <v>8.4499999999999992E-3</v>
      </c>
      <c r="F21" s="243"/>
      <c r="G21" s="243"/>
      <c r="H21" s="243"/>
      <c r="I21" s="243"/>
      <c r="J21" s="250" t="s">
        <v>438</v>
      </c>
      <c r="K21" s="254" t="s">
        <v>439</v>
      </c>
      <c r="L21" s="254" t="s">
        <v>440</v>
      </c>
      <c r="M21" s="254" t="s">
        <v>441</v>
      </c>
    </row>
    <row r="22" spans="3:13" x14ac:dyDescent="0.2">
      <c r="C22" s="243"/>
      <c r="D22" s="246" t="s">
        <v>422</v>
      </c>
      <c r="E22" s="243">
        <f>MAX(Equations!F68-E21,0)</f>
        <v>0</v>
      </c>
      <c r="F22" s="243"/>
      <c r="G22" s="243"/>
      <c r="H22" s="243"/>
      <c r="I22" s="251" t="s">
        <v>442</v>
      </c>
      <c r="J22" s="247">
        <v>0.1</v>
      </c>
      <c r="K22" s="244">
        <v>1</v>
      </c>
      <c r="L22" s="249">
        <v>10</v>
      </c>
      <c r="M22" s="248">
        <v>100</v>
      </c>
    </row>
    <row r="23" spans="3:13" x14ac:dyDescent="0.2">
      <c r="C23" s="243"/>
      <c r="D23" s="246" t="s">
        <v>423</v>
      </c>
      <c r="E23" s="243">
        <f>Equations!F67</f>
        <v>5.9090909090909083</v>
      </c>
      <c r="F23" s="243"/>
      <c r="G23" s="243"/>
      <c r="H23" s="243"/>
      <c r="I23" s="247" t="s">
        <v>443</v>
      </c>
      <c r="J23" s="244">
        <v>1</v>
      </c>
      <c r="K23" s="244">
        <v>10</v>
      </c>
      <c r="L23" s="249">
        <v>100</v>
      </c>
      <c r="M23" s="248">
        <v>1000</v>
      </c>
    </row>
    <row r="24" spans="3:13" x14ac:dyDescent="0.2">
      <c r="C24" s="243"/>
      <c r="D24" s="243"/>
      <c r="E24" s="243"/>
      <c r="F24" s="243"/>
      <c r="G24" s="243"/>
      <c r="H24" s="243"/>
      <c r="I24" s="247" t="s">
        <v>197</v>
      </c>
      <c r="J24" s="244">
        <f>SOA!C33</f>
        <v>80.000000000000014</v>
      </c>
      <c r="K24" s="244">
        <f>SOA!D33</f>
        <v>80</v>
      </c>
      <c r="L24" s="244">
        <f>SOA!E33</f>
        <v>45</v>
      </c>
      <c r="M24" s="244">
        <f>SOA!F33</f>
        <v>80.000000000000014</v>
      </c>
    </row>
    <row r="25" spans="3:13" x14ac:dyDescent="0.2">
      <c r="C25" s="243"/>
      <c r="D25" s="243" t="s">
        <v>204</v>
      </c>
      <c r="E25" s="243">
        <f>'Design Calculator'!F69</f>
        <v>12</v>
      </c>
      <c r="F25" s="243"/>
      <c r="G25" s="243"/>
      <c r="H25" s="243"/>
      <c r="I25" s="247" t="s">
        <v>198</v>
      </c>
      <c r="J25" s="242">
        <f>SOA!C34</f>
        <v>-0.57403126772771884</v>
      </c>
      <c r="K25" s="242">
        <f>SOA!D34</f>
        <v>-0.4259687322722811</v>
      </c>
      <c r="L25" s="242">
        <f>SOA!E34</f>
        <v>-0.17609125905568124</v>
      </c>
      <c r="M25" s="242">
        <f>SOA!F34</f>
        <v>-0.3010299956639812</v>
      </c>
    </row>
    <row r="26" spans="3:13" x14ac:dyDescent="0.2">
      <c r="C26" s="243"/>
      <c r="D26" s="243" t="s">
        <v>147</v>
      </c>
      <c r="E26" s="243" t="str">
        <f>'Design Calculator'!F70</f>
        <v>Constant Current</v>
      </c>
      <c r="F26" s="243"/>
      <c r="G26" s="243"/>
      <c r="H26" s="243"/>
      <c r="I26" s="243"/>
      <c r="J26" s="243"/>
      <c r="K26" s="243"/>
      <c r="L26" s="243"/>
      <c r="M26" s="243"/>
    </row>
    <row r="27" spans="3:13" x14ac:dyDescent="0.2">
      <c r="C27" s="243"/>
      <c r="D27" s="243" t="s">
        <v>148</v>
      </c>
      <c r="E27" s="243">
        <f>'Design Calculator'!F71</f>
        <v>6</v>
      </c>
      <c r="F27" s="243"/>
      <c r="G27" s="243"/>
      <c r="H27" s="243"/>
      <c r="I27" s="252" t="s">
        <v>459</v>
      </c>
      <c r="J27" s="250" t="s">
        <v>161</v>
      </c>
      <c r="K27" s="243"/>
      <c r="L27" s="243"/>
      <c r="M27" s="243"/>
    </row>
    <row r="28" spans="3:13" x14ac:dyDescent="0.2">
      <c r="C28" s="243"/>
      <c r="D28" s="243"/>
      <c r="E28" s="243"/>
      <c r="F28" s="243"/>
      <c r="G28" s="243" t="s">
        <v>457</v>
      </c>
      <c r="H28" s="243"/>
      <c r="I28" s="245">
        <f>SUM(E58:X58)</f>
        <v>12</v>
      </c>
      <c r="J28" s="245">
        <f>IF(I28=0, "NA", I28/AVERAGE(1, E32))</f>
        <v>13.662394164676858</v>
      </c>
      <c r="K28" s="243"/>
      <c r="L28" s="243"/>
      <c r="M28" s="243"/>
    </row>
    <row r="29" spans="3:13" x14ac:dyDescent="0.2">
      <c r="C29" s="243"/>
      <c r="D29" s="246" t="s">
        <v>484</v>
      </c>
      <c r="E29" s="243">
        <f>12/1</f>
        <v>12</v>
      </c>
      <c r="F29" s="243"/>
      <c r="G29" s="243" t="s">
        <v>458</v>
      </c>
      <c r="H29" s="243"/>
      <c r="I29" s="245">
        <f>SUM(E59:X59)</f>
        <v>5.9999999999999984E-2</v>
      </c>
      <c r="J29" s="245">
        <f>IF(I29=0, "NA", I29*AVERAGE(1,E32))</f>
        <v>5.2699401826768279E-2</v>
      </c>
      <c r="K29" s="243"/>
      <c r="L29" s="243"/>
      <c r="M29" s="243"/>
    </row>
    <row r="30" spans="3:13" x14ac:dyDescent="0.2">
      <c r="C30" s="243"/>
      <c r="D30" s="246" t="s">
        <v>485</v>
      </c>
      <c r="E30" s="243">
        <v>0.06</v>
      </c>
      <c r="F30" s="243"/>
      <c r="G30" s="243"/>
      <c r="H30" s="243"/>
      <c r="I30" s="243"/>
      <c r="J30" s="243"/>
      <c r="K30" s="243"/>
      <c r="L30" s="243"/>
      <c r="M30" s="243"/>
    </row>
    <row r="31" spans="3:13" x14ac:dyDescent="0.2">
      <c r="C31" s="243"/>
      <c r="D31" s="246" t="s">
        <v>449</v>
      </c>
      <c r="E31" s="243">
        <v>20</v>
      </c>
      <c r="F31" s="243"/>
      <c r="G31" s="243"/>
      <c r="H31" s="243"/>
      <c r="I31" s="243"/>
      <c r="J31" s="243"/>
      <c r="K31" s="243"/>
      <c r="L31" s="243"/>
      <c r="M31" s="243"/>
    </row>
    <row r="32" spans="3:13" x14ac:dyDescent="0.2">
      <c r="C32" s="243"/>
      <c r="D32" s="246" t="s">
        <v>450</v>
      </c>
      <c r="E32" s="243">
        <f>(E30/E29)^(1/(E31-1))</f>
        <v>0.75664672755894302</v>
      </c>
      <c r="F32" s="243"/>
      <c r="G32" s="243"/>
      <c r="H32" s="243"/>
      <c r="I32" s="243"/>
      <c r="J32" s="243"/>
      <c r="K32" s="243"/>
      <c r="L32" s="243"/>
      <c r="M32" s="243"/>
    </row>
    <row r="33" spans="4:24" x14ac:dyDescent="0.2">
      <c r="D33" s="246"/>
      <c r="E33" s="243"/>
      <c r="F33" s="243"/>
      <c r="G33" s="243"/>
      <c r="H33" s="243"/>
      <c r="I33" s="243"/>
      <c r="J33" s="243"/>
      <c r="K33" s="243"/>
      <c r="L33" s="243"/>
      <c r="M33" s="243"/>
      <c r="N33" s="243"/>
      <c r="O33" s="243"/>
      <c r="P33" s="243"/>
      <c r="Q33" s="243"/>
      <c r="R33" s="243"/>
      <c r="S33" s="243"/>
      <c r="T33" s="243"/>
      <c r="U33" s="243"/>
      <c r="V33" s="243"/>
      <c r="W33" s="243"/>
      <c r="X33" s="243"/>
    </row>
    <row r="34" spans="4:24" x14ac:dyDescent="0.2">
      <c r="D34" s="243"/>
      <c r="E34" s="243">
        <v>1</v>
      </c>
      <c r="F34" s="243">
        <v>2</v>
      </c>
      <c r="G34" s="243">
        <v>3</v>
      </c>
      <c r="H34" s="243">
        <v>4</v>
      </c>
      <c r="I34" s="243">
        <v>5</v>
      </c>
      <c r="J34" s="243">
        <v>6</v>
      </c>
      <c r="K34" s="243">
        <v>7</v>
      </c>
      <c r="L34" s="243">
        <v>8</v>
      </c>
      <c r="M34" s="243">
        <v>9</v>
      </c>
      <c r="N34" s="243">
        <v>10</v>
      </c>
      <c r="O34" s="243">
        <v>11</v>
      </c>
      <c r="P34" s="243">
        <v>12</v>
      </c>
      <c r="Q34" s="243">
        <v>13</v>
      </c>
      <c r="R34" s="243">
        <v>14</v>
      </c>
      <c r="S34" s="243">
        <v>15</v>
      </c>
      <c r="T34" s="243">
        <v>16</v>
      </c>
      <c r="U34" s="243">
        <v>17</v>
      </c>
      <c r="V34" s="243">
        <v>18</v>
      </c>
      <c r="W34" s="243">
        <v>19</v>
      </c>
      <c r="X34" s="243">
        <v>20</v>
      </c>
    </row>
    <row r="35" spans="4:24" x14ac:dyDescent="0.2">
      <c r="D35" s="253" t="s">
        <v>421</v>
      </c>
      <c r="E35" s="253">
        <f>E29</f>
        <v>12</v>
      </c>
      <c r="F35" s="253">
        <f t="shared" ref="F35:X35" si="0">E35*$E$32</f>
        <v>9.0797607307073172</v>
      </c>
      <c r="G35" s="253">
        <f t="shared" si="0"/>
        <v>6.8701712439078886</v>
      </c>
      <c r="H35" s="253">
        <f t="shared" si="0"/>
        <v>5.198292589472457</v>
      </c>
      <c r="I35" s="253">
        <f t="shared" si="0"/>
        <v>3.9332710767182384</v>
      </c>
      <c r="J35" s="253">
        <f t="shared" si="0"/>
        <v>2.9760966888010953</v>
      </c>
      <c r="K35" s="253">
        <f t="shared" si="0"/>
        <v>2.2518538204803549</v>
      </c>
      <c r="L35" s="253">
        <f t="shared" si="0"/>
        <v>1.7038578242075642</v>
      </c>
      <c r="M35" s="253">
        <f t="shared" si="0"/>
        <v>1.2892184469123542</v>
      </c>
      <c r="N35" s="253">
        <f t="shared" si="0"/>
        <v>0.97548291896485573</v>
      </c>
      <c r="O35" s="253">
        <f t="shared" si="0"/>
        <v>0.73809595842440368</v>
      </c>
      <c r="P35" s="253">
        <f t="shared" si="0"/>
        <v>0.55847789156630667</v>
      </c>
      <c r="Q35" s="253">
        <f t="shared" si="0"/>
        <v>0.42257046906766416</v>
      </c>
      <c r="R35" s="253">
        <f t="shared" si="0"/>
        <v>0.31973656258309563</v>
      </c>
      <c r="S35" s="253">
        <f t="shared" si="0"/>
        <v>0.24192762375944449</v>
      </c>
      <c r="T35" s="253">
        <f t="shared" si="0"/>
        <v>0.18305374482369485</v>
      </c>
      <c r="U35" s="253">
        <f t="shared" si="0"/>
        <v>0.13850701698825851</v>
      </c>
      <c r="V35" s="253">
        <f t="shared" si="0"/>
        <v>0.10480088114811673</v>
      </c>
      <c r="W35" s="253">
        <f t="shared" si="0"/>
        <v>7.929724376601624E-2</v>
      </c>
      <c r="X35" s="253">
        <f t="shared" si="0"/>
        <v>5.9999999999999984E-2</v>
      </c>
    </row>
    <row r="36" spans="4:24" x14ac:dyDescent="0.2">
      <c r="D36" s="246" t="s">
        <v>424</v>
      </c>
      <c r="E36" s="243">
        <f t="shared" ref="E36:X36" si="1">VINMAX/E35</f>
        <v>1.0833333333333333</v>
      </c>
      <c r="F36" s="243">
        <f t="shared" si="1"/>
        <v>1.431755790219738</v>
      </c>
      <c r="G36" s="243">
        <f t="shared" si="1"/>
        <v>1.8922381318409969</v>
      </c>
      <c r="H36" s="243">
        <f t="shared" si="1"/>
        <v>2.5008211400657787</v>
      </c>
      <c r="I36" s="243">
        <f t="shared" si="1"/>
        <v>3.3051370593167131</v>
      </c>
      <c r="J36" s="243">
        <f t="shared" si="1"/>
        <v>4.3681376512121926</v>
      </c>
      <c r="K36" s="243">
        <f t="shared" si="1"/>
        <v>5.7730212688614486</v>
      </c>
      <c r="L36" s="243">
        <f t="shared" si="1"/>
        <v>7.6297445803883805</v>
      </c>
      <c r="M36" s="243">
        <f t="shared" si="1"/>
        <v>10.083628597724982</v>
      </c>
      <c r="N36" s="243">
        <f t="shared" si="1"/>
        <v>13.326732582662842</v>
      </c>
      <c r="O36" s="243">
        <f t="shared" si="1"/>
        <v>17.612886036865447</v>
      </c>
      <c r="P36" s="243">
        <f t="shared" si="1"/>
        <v>23.27755529147306</v>
      </c>
      <c r="Q36" s="243">
        <f t="shared" si="1"/>
        <v>30.764099603747685</v>
      </c>
      <c r="R36" s="243">
        <f t="shared" si="1"/>
        <v>40.658471758673073</v>
      </c>
      <c r="S36" s="243">
        <f t="shared" si="1"/>
        <v>53.735079103353115</v>
      </c>
      <c r="T36" s="243">
        <f t="shared" si="1"/>
        <v>71.017394440745974</v>
      </c>
      <c r="U36" s="243">
        <f t="shared" si="1"/>
        <v>93.858060643252699</v>
      </c>
      <c r="V36" s="243">
        <f t="shared" si="1"/>
        <v>124.04475857055913</v>
      </c>
      <c r="W36" s="243">
        <f t="shared" si="1"/>
        <v>163.94012430443769</v>
      </c>
      <c r="X36" s="243">
        <f t="shared" si="1"/>
        <v>216.66666666666671</v>
      </c>
    </row>
    <row r="37" spans="4:24" x14ac:dyDescent="0.2">
      <c r="D37" s="246" t="s">
        <v>425</v>
      </c>
      <c r="E37" s="243">
        <f t="shared" ref="E37:X37" si="2">E35*COUTMAX/1000</f>
        <v>1.2</v>
      </c>
      <c r="F37" s="243">
        <f t="shared" si="2"/>
        <v>0.90797607307073169</v>
      </c>
      <c r="G37" s="243">
        <f t="shared" si="2"/>
        <v>0.68701712439078877</v>
      </c>
      <c r="H37" s="243">
        <f t="shared" si="2"/>
        <v>0.51982925894724563</v>
      </c>
      <c r="I37" s="243">
        <f t="shared" si="2"/>
        <v>0.39332710767182383</v>
      </c>
      <c r="J37" s="243">
        <f t="shared" si="2"/>
        <v>0.29760966888010953</v>
      </c>
      <c r="K37" s="243">
        <f t="shared" si="2"/>
        <v>0.22518538204803548</v>
      </c>
      <c r="L37" s="243">
        <f t="shared" si="2"/>
        <v>0.17038578242075642</v>
      </c>
      <c r="M37" s="243">
        <f t="shared" si="2"/>
        <v>0.12892184469123544</v>
      </c>
      <c r="N37" s="243">
        <f t="shared" si="2"/>
        <v>9.7548291896485576E-2</v>
      </c>
      <c r="O37" s="243">
        <f t="shared" si="2"/>
        <v>7.3809595842440373E-2</v>
      </c>
      <c r="P37" s="243">
        <f t="shared" si="2"/>
        <v>5.5847789156630669E-2</v>
      </c>
      <c r="Q37" s="243">
        <f t="shared" si="2"/>
        <v>4.2257046906766418E-2</v>
      </c>
      <c r="R37" s="243">
        <f t="shared" si="2"/>
        <v>3.1973656258309564E-2</v>
      </c>
      <c r="S37" s="243">
        <f t="shared" si="2"/>
        <v>2.4192762375944449E-2</v>
      </c>
      <c r="T37" s="243">
        <f t="shared" si="2"/>
        <v>1.8305374482369487E-2</v>
      </c>
      <c r="U37" s="243">
        <f t="shared" si="2"/>
        <v>1.3850701698825851E-2</v>
      </c>
      <c r="V37" s="243">
        <f t="shared" si="2"/>
        <v>1.0480088114811673E-2</v>
      </c>
      <c r="W37" s="243">
        <f t="shared" si="2"/>
        <v>7.929724376601624E-3</v>
      </c>
      <c r="X37" s="243">
        <f t="shared" si="2"/>
        <v>5.9999999999999984E-3</v>
      </c>
    </row>
    <row r="38" spans="4:24" x14ac:dyDescent="0.2">
      <c r="D38" s="246" t="s">
        <v>426</v>
      </c>
      <c r="E38" s="243">
        <f t="shared" ref="E38:X38" si="3">$E$21+$E$22*E36/$E$23</f>
        <v>8.4499999999999992E-3</v>
      </c>
      <c r="F38" s="243">
        <f t="shared" si="3"/>
        <v>8.4499999999999992E-3</v>
      </c>
      <c r="G38" s="243">
        <f t="shared" si="3"/>
        <v>8.4499999999999992E-3</v>
      </c>
      <c r="H38" s="243">
        <f t="shared" si="3"/>
        <v>8.4499999999999992E-3</v>
      </c>
      <c r="I38" s="243">
        <f t="shared" si="3"/>
        <v>8.4499999999999992E-3</v>
      </c>
      <c r="J38" s="243">
        <f t="shared" si="3"/>
        <v>8.4499999999999992E-3</v>
      </c>
      <c r="K38" s="243">
        <f t="shared" si="3"/>
        <v>8.4499999999999992E-3</v>
      </c>
      <c r="L38" s="243">
        <f t="shared" si="3"/>
        <v>8.4499999999999992E-3</v>
      </c>
      <c r="M38" s="243">
        <f t="shared" si="3"/>
        <v>8.4499999999999992E-3</v>
      </c>
      <c r="N38" s="243">
        <f t="shared" si="3"/>
        <v>8.4499999999999992E-3</v>
      </c>
      <c r="O38" s="243">
        <f t="shared" si="3"/>
        <v>8.4499999999999992E-3</v>
      </c>
      <c r="P38" s="243">
        <f t="shared" si="3"/>
        <v>8.4499999999999992E-3</v>
      </c>
      <c r="Q38" s="243">
        <f t="shared" si="3"/>
        <v>8.4499999999999992E-3</v>
      </c>
      <c r="R38" s="243">
        <f t="shared" si="3"/>
        <v>8.4499999999999992E-3</v>
      </c>
      <c r="S38" s="243">
        <f t="shared" si="3"/>
        <v>8.4499999999999992E-3</v>
      </c>
      <c r="T38" s="243">
        <f t="shared" si="3"/>
        <v>8.4499999999999992E-3</v>
      </c>
      <c r="U38" s="243">
        <f t="shared" si="3"/>
        <v>8.4499999999999992E-3</v>
      </c>
      <c r="V38" s="243">
        <f t="shared" si="3"/>
        <v>8.4499999999999992E-3</v>
      </c>
      <c r="W38" s="243">
        <f t="shared" si="3"/>
        <v>8.4499999999999992E-3</v>
      </c>
      <c r="X38" s="243">
        <f t="shared" si="3"/>
        <v>8.4499999999999992E-3</v>
      </c>
    </row>
    <row r="39" spans="4:24" x14ac:dyDescent="0.2">
      <c r="D39" s="246" t="s">
        <v>429</v>
      </c>
      <c r="E39" s="243">
        <f t="shared" ref="E39:X39" si="4">(E37+IF($E$26="Resistive",0,IF($E$25=0,$E$27,0)))*VINMAX</f>
        <v>15.6</v>
      </c>
      <c r="F39" s="243">
        <f t="shared" si="4"/>
        <v>11.803688949919511</v>
      </c>
      <c r="G39" s="243">
        <f t="shared" si="4"/>
        <v>8.9312226170802536</v>
      </c>
      <c r="H39" s="243">
        <f t="shared" si="4"/>
        <v>6.7577803663141935</v>
      </c>
      <c r="I39" s="243">
        <f t="shared" si="4"/>
        <v>5.1132523997337094</v>
      </c>
      <c r="J39" s="243">
        <f t="shared" si="4"/>
        <v>3.868925695441424</v>
      </c>
      <c r="K39" s="243">
        <f t="shared" si="4"/>
        <v>2.9274099666244613</v>
      </c>
      <c r="L39" s="243">
        <f t="shared" si="4"/>
        <v>2.2150151714698332</v>
      </c>
      <c r="M39" s="243">
        <f t="shared" si="4"/>
        <v>1.6759839809860606</v>
      </c>
      <c r="N39" s="243">
        <f t="shared" si="4"/>
        <v>1.2681277946543126</v>
      </c>
      <c r="O39" s="243">
        <f t="shared" si="4"/>
        <v>0.95952474595172488</v>
      </c>
      <c r="P39" s="243">
        <f t="shared" si="4"/>
        <v>0.72602125903619874</v>
      </c>
      <c r="Q39" s="243">
        <f t="shared" si="4"/>
        <v>0.54934160978796343</v>
      </c>
      <c r="R39" s="243">
        <f t="shared" si="4"/>
        <v>0.41565753135802436</v>
      </c>
      <c r="S39" s="243">
        <f t="shared" si="4"/>
        <v>0.31450591088727786</v>
      </c>
      <c r="T39" s="243">
        <f t="shared" si="4"/>
        <v>0.23796986827080333</v>
      </c>
      <c r="U39" s="243">
        <f t="shared" si="4"/>
        <v>0.18005912208473607</v>
      </c>
      <c r="V39" s="243">
        <f t="shared" si="4"/>
        <v>0.13624114549255173</v>
      </c>
      <c r="W39" s="243">
        <f t="shared" si="4"/>
        <v>0.10308641689582111</v>
      </c>
      <c r="X39" s="243">
        <f t="shared" si="4"/>
        <v>7.7999999999999986E-2</v>
      </c>
    </row>
    <row r="40" spans="4:24" x14ac:dyDescent="0.2">
      <c r="D40" s="246" t="s">
        <v>427</v>
      </c>
      <c r="E40" s="243">
        <f t="shared" ref="E40:X40" si="5">(E37+IF($E$26="Resistive", $E$25/$E$27,$E$27)) *(VINMAX-$E$25)</f>
        <v>7.2</v>
      </c>
      <c r="F40" s="243">
        <f t="shared" si="5"/>
        <v>6.9079760730707314</v>
      </c>
      <c r="G40" s="243">
        <f t="shared" si="5"/>
        <v>6.6870171243907883</v>
      </c>
      <c r="H40" s="243">
        <f t="shared" si="5"/>
        <v>6.5198292589472455</v>
      </c>
      <c r="I40" s="243">
        <f t="shared" si="5"/>
        <v>6.3933271076718237</v>
      </c>
      <c r="J40" s="243">
        <f t="shared" si="5"/>
        <v>6.29760966888011</v>
      </c>
      <c r="K40" s="243">
        <f t="shared" si="5"/>
        <v>6.2251853820480356</v>
      </c>
      <c r="L40" s="243">
        <f t="shared" si="5"/>
        <v>6.1703857824207562</v>
      </c>
      <c r="M40" s="243">
        <f t="shared" si="5"/>
        <v>6.1289218446912352</v>
      </c>
      <c r="N40" s="243">
        <f t="shared" si="5"/>
        <v>6.0975482918964854</v>
      </c>
      <c r="O40" s="243">
        <f t="shared" si="5"/>
        <v>6.0738095958424401</v>
      </c>
      <c r="P40" s="243">
        <f t="shared" si="5"/>
        <v>6.0558477891566307</v>
      </c>
      <c r="Q40" s="243">
        <f t="shared" si="5"/>
        <v>6.0422570469067667</v>
      </c>
      <c r="R40" s="243">
        <f t="shared" si="5"/>
        <v>6.0319736562583097</v>
      </c>
      <c r="S40" s="243">
        <f t="shared" si="5"/>
        <v>6.0241927623759448</v>
      </c>
      <c r="T40" s="243">
        <f t="shared" si="5"/>
        <v>6.0183053744823694</v>
      </c>
      <c r="U40" s="243">
        <f t="shared" si="5"/>
        <v>6.0138507016988259</v>
      </c>
      <c r="V40" s="243">
        <f t="shared" si="5"/>
        <v>6.0104800881148117</v>
      </c>
      <c r="W40" s="243">
        <f t="shared" si="5"/>
        <v>6.0079297243766012</v>
      </c>
      <c r="X40" s="243">
        <f t="shared" si="5"/>
        <v>6.0060000000000002</v>
      </c>
    </row>
    <row r="41" spans="4:24" x14ac:dyDescent="0.2">
      <c r="D41" s="246" t="s">
        <v>432</v>
      </c>
      <c r="E41" s="243">
        <f t="shared" ref="E41:X41" si="6">IF($E$26="Resistive", -$E$27*E37/2 + VINMAX/2, -1)</f>
        <v>-1</v>
      </c>
      <c r="F41" s="243">
        <f t="shared" si="6"/>
        <v>-1</v>
      </c>
      <c r="G41" s="243">
        <f t="shared" si="6"/>
        <v>-1</v>
      </c>
      <c r="H41" s="243">
        <f t="shared" si="6"/>
        <v>-1</v>
      </c>
      <c r="I41" s="243">
        <f t="shared" si="6"/>
        <v>-1</v>
      </c>
      <c r="J41" s="243">
        <f t="shared" si="6"/>
        <v>-1</v>
      </c>
      <c r="K41" s="243">
        <f t="shared" si="6"/>
        <v>-1</v>
      </c>
      <c r="L41" s="243">
        <f t="shared" si="6"/>
        <v>-1</v>
      </c>
      <c r="M41" s="243">
        <f t="shared" si="6"/>
        <v>-1</v>
      </c>
      <c r="N41" s="243">
        <f t="shared" si="6"/>
        <v>-1</v>
      </c>
      <c r="O41" s="243">
        <f t="shared" si="6"/>
        <v>-1</v>
      </c>
      <c r="P41" s="243">
        <f t="shared" si="6"/>
        <v>-1</v>
      </c>
      <c r="Q41" s="243">
        <f t="shared" si="6"/>
        <v>-1</v>
      </c>
      <c r="R41" s="243">
        <f t="shared" si="6"/>
        <v>-1</v>
      </c>
      <c r="S41" s="243">
        <f t="shared" si="6"/>
        <v>-1</v>
      </c>
      <c r="T41" s="243">
        <f t="shared" si="6"/>
        <v>-1</v>
      </c>
      <c r="U41" s="243">
        <f t="shared" si="6"/>
        <v>-1</v>
      </c>
      <c r="V41" s="243">
        <f t="shared" si="6"/>
        <v>-1</v>
      </c>
      <c r="W41" s="243">
        <f t="shared" si="6"/>
        <v>-1</v>
      </c>
      <c r="X41" s="243">
        <f t="shared" si="6"/>
        <v>-1</v>
      </c>
    </row>
    <row r="42" spans="4:24" x14ac:dyDescent="0.2">
      <c r="D42" s="246" t="s">
        <v>434</v>
      </c>
      <c r="E42" s="243">
        <f t="shared" ref="E42:X42" si="7">IF(AND(E41&lt;VINMAX, E41&gt;$E$25), (VINMAX-E41)*(E37+E41/$E$27), 0)</f>
        <v>0</v>
      </c>
      <c r="F42" s="243">
        <f t="shared" si="7"/>
        <v>0</v>
      </c>
      <c r="G42" s="243">
        <f t="shared" si="7"/>
        <v>0</v>
      </c>
      <c r="H42" s="243">
        <f t="shared" si="7"/>
        <v>0</v>
      </c>
      <c r="I42" s="243">
        <f t="shared" si="7"/>
        <v>0</v>
      </c>
      <c r="J42" s="243">
        <f t="shared" si="7"/>
        <v>0</v>
      </c>
      <c r="K42" s="243">
        <f t="shared" si="7"/>
        <v>0</v>
      </c>
      <c r="L42" s="243">
        <f t="shared" si="7"/>
        <v>0</v>
      </c>
      <c r="M42" s="243">
        <f t="shared" si="7"/>
        <v>0</v>
      </c>
      <c r="N42" s="243">
        <f t="shared" si="7"/>
        <v>0</v>
      </c>
      <c r="O42" s="243">
        <f t="shared" si="7"/>
        <v>0</v>
      </c>
      <c r="P42" s="243">
        <f t="shared" si="7"/>
        <v>0</v>
      </c>
      <c r="Q42" s="243">
        <f t="shared" si="7"/>
        <v>0</v>
      </c>
      <c r="R42" s="243">
        <f t="shared" si="7"/>
        <v>0</v>
      </c>
      <c r="S42" s="243">
        <f t="shared" si="7"/>
        <v>0</v>
      </c>
      <c r="T42" s="243">
        <f t="shared" si="7"/>
        <v>0</v>
      </c>
      <c r="U42" s="243">
        <f t="shared" si="7"/>
        <v>0</v>
      </c>
      <c r="V42" s="243">
        <f t="shared" si="7"/>
        <v>0</v>
      </c>
      <c r="W42" s="243">
        <f t="shared" si="7"/>
        <v>0</v>
      </c>
      <c r="X42" s="243">
        <f t="shared" si="7"/>
        <v>0</v>
      </c>
    </row>
    <row r="44" spans="4:24" x14ac:dyDescent="0.2">
      <c r="D44" s="246" t="s">
        <v>435</v>
      </c>
      <c r="E44" s="243">
        <f t="shared" ref="E44:X44" si="8">MAX(E39,E40,E42)</f>
        <v>15.6</v>
      </c>
      <c r="F44" s="243">
        <f t="shared" si="8"/>
        <v>11.803688949919511</v>
      </c>
      <c r="G44" s="243">
        <f t="shared" si="8"/>
        <v>8.9312226170802536</v>
      </c>
      <c r="H44" s="243">
        <f t="shared" si="8"/>
        <v>6.7577803663141935</v>
      </c>
      <c r="I44" s="243">
        <f t="shared" si="8"/>
        <v>6.3933271076718237</v>
      </c>
      <c r="J44" s="243">
        <f t="shared" si="8"/>
        <v>6.29760966888011</v>
      </c>
      <c r="K44" s="243">
        <f t="shared" si="8"/>
        <v>6.2251853820480356</v>
      </c>
      <c r="L44" s="243">
        <f t="shared" si="8"/>
        <v>6.1703857824207562</v>
      </c>
      <c r="M44" s="243">
        <f t="shared" si="8"/>
        <v>6.1289218446912352</v>
      </c>
      <c r="N44" s="243">
        <f t="shared" si="8"/>
        <v>6.0975482918964854</v>
      </c>
      <c r="O44" s="243">
        <f t="shared" si="8"/>
        <v>6.0738095958424401</v>
      </c>
      <c r="P44" s="243">
        <f t="shared" si="8"/>
        <v>6.0558477891566307</v>
      </c>
      <c r="Q44" s="243">
        <f t="shared" si="8"/>
        <v>6.0422570469067667</v>
      </c>
      <c r="R44" s="243">
        <f t="shared" si="8"/>
        <v>6.0319736562583097</v>
      </c>
      <c r="S44" s="243">
        <f t="shared" si="8"/>
        <v>6.0241927623759448</v>
      </c>
      <c r="T44" s="243">
        <f t="shared" si="8"/>
        <v>6.0183053744823694</v>
      </c>
      <c r="U44" s="243">
        <f t="shared" si="8"/>
        <v>6.0138507016988259</v>
      </c>
      <c r="V44" s="243">
        <f t="shared" si="8"/>
        <v>6.0104800881148117</v>
      </c>
      <c r="W44" s="243">
        <f t="shared" si="8"/>
        <v>6.0079297243766012</v>
      </c>
      <c r="X44" s="243">
        <f t="shared" si="8"/>
        <v>6.0060000000000002</v>
      </c>
    </row>
    <row r="45" spans="4:24" x14ac:dyDescent="0.2">
      <c r="D45" s="246" t="s">
        <v>436</v>
      </c>
      <c r="E45" s="243">
        <f t="shared" ref="E45:X45" si="9">E38/E44*1000</f>
        <v>0.54166666666666663</v>
      </c>
      <c r="F45" s="243">
        <f t="shared" si="9"/>
        <v>0.71587789510986899</v>
      </c>
      <c r="G45" s="243">
        <f t="shared" si="9"/>
        <v>0.94611906592049844</v>
      </c>
      <c r="H45" s="243">
        <f t="shared" si="9"/>
        <v>1.2504105700328894</v>
      </c>
      <c r="I45" s="243">
        <f t="shared" si="9"/>
        <v>1.3216905466732998</v>
      </c>
      <c r="J45" s="243">
        <f t="shared" si="9"/>
        <v>1.3417789358645094</v>
      </c>
      <c r="K45" s="243">
        <f t="shared" si="9"/>
        <v>1.3573892954847262</v>
      </c>
      <c r="L45" s="243">
        <f t="shared" si="9"/>
        <v>1.3694443585802683</v>
      </c>
      <c r="M45" s="243">
        <f t="shared" si="9"/>
        <v>1.3787090477127297</v>
      </c>
      <c r="N45" s="243">
        <f t="shared" si="9"/>
        <v>1.3858028826487316</v>
      </c>
      <c r="O45" s="243">
        <f t="shared" si="9"/>
        <v>1.3912191132537437</v>
      </c>
      <c r="P45" s="243">
        <f t="shared" si="9"/>
        <v>1.3953455063930513</v>
      </c>
      <c r="Q45" s="243">
        <f t="shared" si="9"/>
        <v>1.3984840324404664</v>
      </c>
      <c r="R45" s="243">
        <f t="shared" si="9"/>
        <v>1.4008681870208322</v>
      </c>
      <c r="S45" s="243">
        <f t="shared" si="9"/>
        <v>1.402677559186754</v>
      </c>
      <c r="T45" s="243">
        <f t="shared" si="9"/>
        <v>1.4040497240017136</v>
      </c>
      <c r="U45" s="243">
        <f t="shared" si="9"/>
        <v>1.4050897534940461</v>
      </c>
      <c r="V45" s="243">
        <f t="shared" si="9"/>
        <v>1.4058777129482751</v>
      </c>
      <c r="W45" s="243">
        <f t="shared" si="9"/>
        <v>1.4064745074688425</v>
      </c>
      <c r="X45" s="243">
        <f t="shared" si="9"/>
        <v>1.4069264069264069</v>
      </c>
    </row>
    <row r="47" spans="4:24" x14ac:dyDescent="0.2">
      <c r="D47" s="246" t="s">
        <v>197</v>
      </c>
      <c r="E47" s="243">
        <f t="shared" ref="E47:X47" si="10">IF(E45&lt;$J$23,$J$24,IF(E45&lt;$K$23,$K$24,IF(E45&lt;$L$23,$L$24,$M$24)))</f>
        <v>80.000000000000014</v>
      </c>
      <c r="F47" s="243">
        <f t="shared" si="10"/>
        <v>80.000000000000014</v>
      </c>
      <c r="G47" s="243">
        <f t="shared" si="10"/>
        <v>80.000000000000014</v>
      </c>
      <c r="H47" s="243">
        <f t="shared" si="10"/>
        <v>80</v>
      </c>
      <c r="I47" s="243">
        <f t="shared" si="10"/>
        <v>80</v>
      </c>
      <c r="J47" s="243">
        <f t="shared" si="10"/>
        <v>80</v>
      </c>
      <c r="K47" s="243">
        <f t="shared" si="10"/>
        <v>80</v>
      </c>
      <c r="L47" s="243">
        <f t="shared" si="10"/>
        <v>80</v>
      </c>
      <c r="M47" s="243">
        <f t="shared" si="10"/>
        <v>80</v>
      </c>
      <c r="N47" s="243">
        <f t="shared" si="10"/>
        <v>80</v>
      </c>
      <c r="O47" s="243">
        <f t="shared" si="10"/>
        <v>80</v>
      </c>
      <c r="P47" s="243">
        <f t="shared" si="10"/>
        <v>80</v>
      </c>
      <c r="Q47" s="243">
        <f t="shared" si="10"/>
        <v>80</v>
      </c>
      <c r="R47" s="243">
        <f t="shared" si="10"/>
        <v>80</v>
      </c>
      <c r="S47" s="243">
        <f t="shared" si="10"/>
        <v>80</v>
      </c>
      <c r="T47" s="243">
        <f t="shared" si="10"/>
        <v>80</v>
      </c>
      <c r="U47" s="243">
        <f t="shared" si="10"/>
        <v>80</v>
      </c>
      <c r="V47" s="243">
        <f t="shared" si="10"/>
        <v>80</v>
      </c>
      <c r="W47" s="243">
        <f t="shared" si="10"/>
        <v>80</v>
      </c>
      <c r="X47" s="243">
        <f t="shared" si="10"/>
        <v>80</v>
      </c>
    </row>
    <row r="48" spans="4:24" x14ac:dyDescent="0.2">
      <c r="D48" s="246" t="s">
        <v>198</v>
      </c>
      <c r="E48" s="243">
        <f t="shared" ref="E48:X48" si="11">IF(E45&lt;$J$23,$J$25,IF(E45&lt;$K$23,$K$25,IF(E45&lt;$L$23,$L$25,$M$25)))</f>
        <v>-0.57403126772771884</v>
      </c>
      <c r="F48" s="243">
        <f t="shared" si="11"/>
        <v>-0.57403126772771884</v>
      </c>
      <c r="G48" s="243">
        <f t="shared" si="11"/>
        <v>-0.57403126772771884</v>
      </c>
      <c r="H48" s="243">
        <f t="shared" si="11"/>
        <v>-0.4259687322722811</v>
      </c>
      <c r="I48" s="243">
        <f t="shared" si="11"/>
        <v>-0.4259687322722811</v>
      </c>
      <c r="J48" s="243">
        <f t="shared" si="11"/>
        <v>-0.4259687322722811</v>
      </c>
      <c r="K48" s="243">
        <f t="shared" si="11"/>
        <v>-0.4259687322722811</v>
      </c>
      <c r="L48" s="243">
        <f t="shared" si="11"/>
        <v>-0.4259687322722811</v>
      </c>
      <c r="M48" s="243">
        <f t="shared" si="11"/>
        <v>-0.4259687322722811</v>
      </c>
      <c r="N48" s="243">
        <f t="shared" si="11"/>
        <v>-0.4259687322722811</v>
      </c>
      <c r="O48" s="243">
        <f t="shared" si="11"/>
        <v>-0.4259687322722811</v>
      </c>
      <c r="P48" s="243">
        <f t="shared" si="11"/>
        <v>-0.4259687322722811</v>
      </c>
      <c r="Q48" s="243">
        <f t="shared" si="11"/>
        <v>-0.4259687322722811</v>
      </c>
      <c r="R48" s="243">
        <f t="shared" si="11"/>
        <v>-0.4259687322722811</v>
      </c>
      <c r="S48" s="243">
        <f t="shared" si="11"/>
        <v>-0.4259687322722811</v>
      </c>
      <c r="T48" s="243">
        <f t="shared" si="11"/>
        <v>-0.4259687322722811</v>
      </c>
      <c r="U48" s="243">
        <f t="shared" si="11"/>
        <v>-0.4259687322722811</v>
      </c>
      <c r="V48" s="243">
        <f t="shared" si="11"/>
        <v>-0.4259687322722811</v>
      </c>
      <c r="W48" s="243">
        <f t="shared" si="11"/>
        <v>-0.4259687322722811</v>
      </c>
      <c r="X48" s="243">
        <f t="shared" si="11"/>
        <v>-0.4259687322722811</v>
      </c>
    </row>
    <row r="50" spans="4:25" x14ac:dyDescent="0.2">
      <c r="D50" s="246" t="s">
        <v>444</v>
      </c>
      <c r="E50" s="243">
        <f t="shared" ref="E50:X50" si="12">E47*E45^E48*VINMAX</f>
        <v>1478.6978227289687</v>
      </c>
      <c r="F50" s="243">
        <f t="shared" si="12"/>
        <v>1259.9703330162479</v>
      </c>
      <c r="G50" s="243">
        <f t="shared" si="12"/>
        <v>1073.5967928533646</v>
      </c>
      <c r="H50" s="243">
        <f t="shared" si="12"/>
        <v>945.56622451903866</v>
      </c>
      <c r="I50" s="243">
        <f t="shared" si="12"/>
        <v>923.49774407082964</v>
      </c>
      <c r="J50" s="243">
        <f t="shared" si="12"/>
        <v>917.58274573658343</v>
      </c>
      <c r="K50" s="243">
        <f t="shared" si="12"/>
        <v>913.0728004307191</v>
      </c>
      <c r="L50" s="243">
        <f t="shared" si="12"/>
        <v>909.64031108820564</v>
      </c>
      <c r="M50" s="243">
        <f t="shared" si="12"/>
        <v>907.03148324419158</v>
      </c>
      <c r="N50" s="243">
        <f t="shared" si="12"/>
        <v>905.05078178337487</v>
      </c>
      <c r="O50" s="243">
        <f t="shared" si="12"/>
        <v>903.54819943987297</v>
      </c>
      <c r="P50" s="243">
        <f t="shared" si="12"/>
        <v>902.40903366939187</v>
      </c>
      <c r="Q50" s="243">
        <f t="shared" si="12"/>
        <v>901.54579802901253</v>
      </c>
      <c r="R50" s="243">
        <f t="shared" si="12"/>
        <v>900.89189261638569</v>
      </c>
      <c r="S50" s="243">
        <f t="shared" si="12"/>
        <v>900.39669183004344</v>
      </c>
      <c r="T50" s="243">
        <f t="shared" si="12"/>
        <v>900.02175572232488</v>
      </c>
      <c r="U50" s="243">
        <f t="shared" si="12"/>
        <v>899.73792159863046</v>
      </c>
      <c r="V50" s="243">
        <f t="shared" si="12"/>
        <v>899.52307922154444</v>
      </c>
      <c r="W50" s="243">
        <f t="shared" si="12"/>
        <v>899.36047347345072</v>
      </c>
      <c r="X50" s="243">
        <f t="shared" si="12"/>
        <v>899.2374120317354</v>
      </c>
      <c r="Y50" s="243"/>
    </row>
    <row r="51" spans="4:25" x14ac:dyDescent="0.2">
      <c r="D51" s="246" t="s">
        <v>445</v>
      </c>
      <c r="E51" s="243">
        <f t="shared" ref="E51:X51" si="13">E50*(TJMAX-$E$19)/(TJMAX - 25)</f>
        <v>985.10848950203899</v>
      </c>
      <c r="F51" s="243">
        <f t="shared" si="13"/>
        <v>839.39223585542436</v>
      </c>
      <c r="G51" s="243">
        <f t="shared" si="13"/>
        <v>715.23018339891155</v>
      </c>
      <c r="H51" s="243">
        <f t="shared" si="13"/>
        <v>629.93621877458361</v>
      </c>
      <c r="I51" s="243">
        <f t="shared" si="13"/>
        <v>615.23419709998677</v>
      </c>
      <c r="J51" s="243">
        <f t="shared" si="13"/>
        <v>611.29362520971188</v>
      </c>
      <c r="K51" s="243">
        <f t="shared" si="13"/>
        <v>608.28909964694503</v>
      </c>
      <c r="L51" s="243">
        <f t="shared" si="13"/>
        <v>606.00237524696263</v>
      </c>
      <c r="M51" s="243">
        <f t="shared" si="13"/>
        <v>604.26437413728047</v>
      </c>
      <c r="N51" s="243">
        <f t="shared" si="13"/>
        <v>602.94483082408431</v>
      </c>
      <c r="O51" s="243">
        <f t="shared" si="13"/>
        <v>601.94381046684339</v>
      </c>
      <c r="P51" s="243">
        <f t="shared" si="13"/>
        <v>601.18489823054892</v>
      </c>
      <c r="Q51" s="243">
        <f t="shared" si="13"/>
        <v>600.60981064692817</v>
      </c>
      <c r="R51" s="243">
        <f t="shared" si="13"/>
        <v>600.17417886103624</v>
      </c>
      <c r="S51" s="243">
        <f t="shared" si="13"/>
        <v>599.844276097175</v>
      </c>
      <c r="T51" s="243">
        <f t="shared" si="13"/>
        <v>599.59449366221293</v>
      </c>
      <c r="U51" s="243">
        <f t="shared" si="13"/>
        <v>599.40540336900767</v>
      </c>
      <c r="V51" s="243">
        <f t="shared" si="13"/>
        <v>599.26227537739294</v>
      </c>
      <c r="W51" s="243">
        <f t="shared" si="13"/>
        <v>599.15394742801288</v>
      </c>
      <c r="X51" s="243">
        <f t="shared" si="13"/>
        <v>599.07196389554213</v>
      </c>
      <c r="Y51" s="243"/>
    </row>
    <row r="52" spans="4:25" x14ac:dyDescent="0.2">
      <c r="D52" s="246" t="s">
        <v>447</v>
      </c>
      <c r="E52" s="243">
        <f t="shared" ref="E52:X52" si="14">E51/E44</f>
        <v>63.147980096284549</v>
      </c>
      <c r="F52" s="243">
        <f t="shared" si="14"/>
        <v>71.112703784112185</v>
      </c>
      <c r="G52" s="243">
        <f t="shared" si="14"/>
        <v>80.082001542665694</v>
      </c>
      <c r="H52" s="243">
        <f t="shared" si="14"/>
        <v>93.21643862748995</v>
      </c>
      <c r="I52" s="243">
        <f t="shared" si="14"/>
        <v>96.230677194933762</v>
      </c>
      <c r="J52" s="243">
        <f t="shared" si="14"/>
        <v>97.067563305875211</v>
      </c>
      <c r="K52" s="243">
        <f t="shared" si="14"/>
        <v>97.714214487669253</v>
      </c>
      <c r="L52" s="243">
        <f t="shared" si="14"/>
        <v>98.211424150082351</v>
      </c>
      <c r="M52" s="243">
        <f t="shared" si="14"/>
        <v>98.592279270241249</v>
      </c>
      <c r="N52" s="243">
        <f t="shared" si="14"/>
        <v>98.88315794487194</v>
      </c>
      <c r="O52" s="243">
        <f t="shared" si="14"/>
        <v>99.104820618492482</v>
      </c>
      <c r="P52" s="243">
        <f t="shared" si="14"/>
        <v>99.273449261226077</v>
      </c>
      <c r="Q52" s="243">
        <f t="shared" si="14"/>
        <v>99.401565670629722</v>
      </c>
      <c r="R52" s="243">
        <f t="shared" si="14"/>
        <v>99.49880637133451</v>
      </c>
      <c r="S52" s="243">
        <f t="shared" si="14"/>
        <v>99.572556815163409</v>
      </c>
      <c r="T52" s="243">
        <f t="shared" si="14"/>
        <v>99.628459566790212</v>
      </c>
      <c r="U52" s="243">
        <f t="shared" si="14"/>
        <v>99.67081543937968</v>
      </c>
      <c r="V52" s="243">
        <f t="shared" si="14"/>
        <v>99.702896705769078</v>
      </c>
      <c r="W52" s="243">
        <f t="shared" si="14"/>
        <v>99.727189716784295</v>
      </c>
      <c r="X52" s="243">
        <f t="shared" si="14"/>
        <v>99.7455817341895</v>
      </c>
      <c r="Y52" s="243"/>
    </row>
    <row r="54" spans="4:25" x14ac:dyDescent="0.2">
      <c r="D54" s="246" t="s">
        <v>451</v>
      </c>
      <c r="E54" s="243" t="str">
        <f t="shared" ref="E54:X54" si="15">IF(E52&gt;$E$20, "Y", "N")</f>
        <v>Y</v>
      </c>
      <c r="F54" s="243" t="str">
        <f t="shared" si="15"/>
        <v>Y</v>
      </c>
      <c r="G54" s="243" t="str">
        <f t="shared" si="15"/>
        <v>Y</v>
      </c>
      <c r="H54" s="243" t="str">
        <f t="shared" si="15"/>
        <v>Y</v>
      </c>
      <c r="I54" s="243" t="str">
        <f t="shared" si="15"/>
        <v>Y</v>
      </c>
      <c r="J54" s="243" t="str">
        <f t="shared" si="15"/>
        <v>Y</v>
      </c>
      <c r="K54" s="243" t="str">
        <f t="shared" si="15"/>
        <v>Y</v>
      </c>
      <c r="L54" s="243" t="str">
        <f t="shared" si="15"/>
        <v>Y</v>
      </c>
      <c r="M54" s="243" t="str">
        <f t="shared" si="15"/>
        <v>Y</v>
      </c>
      <c r="N54" s="243" t="str">
        <f t="shared" si="15"/>
        <v>Y</v>
      </c>
      <c r="O54" s="243" t="str">
        <f t="shared" si="15"/>
        <v>Y</v>
      </c>
      <c r="P54" s="243" t="str">
        <f t="shared" si="15"/>
        <v>Y</v>
      </c>
      <c r="Q54" s="243" t="str">
        <f t="shared" si="15"/>
        <v>Y</v>
      </c>
      <c r="R54" s="243" t="str">
        <f t="shared" si="15"/>
        <v>Y</v>
      </c>
      <c r="S54" s="243" t="str">
        <f t="shared" si="15"/>
        <v>Y</v>
      </c>
      <c r="T54" s="243" t="str">
        <f t="shared" si="15"/>
        <v>Y</v>
      </c>
      <c r="U54" s="243" t="str">
        <f t="shared" si="15"/>
        <v>Y</v>
      </c>
      <c r="V54" s="243" t="str">
        <f t="shared" si="15"/>
        <v>Y</v>
      </c>
      <c r="W54" s="243" t="str">
        <f t="shared" si="15"/>
        <v>Y</v>
      </c>
      <c r="X54" s="243" t="str">
        <f t="shared" si="15"/>
        <v>Y</v>
      </c>
      <c r="Y54" s="243" t="s">
        <v>454</v>
      </c>
    </row>
    <row r="55" spans="4:25" x14ac:dyDescent="0.2">
      <c r="D55" s="246" t="s">
        <v>452</v>
      </c>
      <c r="E55" s="243">
        <f>IF(E54="Y", 1, 0)</f>
        <v>1</v>
      </c>
      <c r="F55" s="243">
        <f t="shared" ref="F55:X55" si="16">IF(AND(F54="Y", E54="N"),  1, 0)</f>
        <v>0</v>
      </c>
      <c r="G55" s="243">
        <f t="shared" si="16"/>
        <v>0</v>
      </c>
      <c r="H55" s="243">
        <f t="shared" si="16"/>
        <v>0</v>
      </c>
      <c r="I55" s="243">
        <f t="shared" si="16"/>
        <v>0</v>
      </c>
      <c r="J55" s="243">
        <f t="shared" si="16"/>
        <v>0</v>
      </c>
      <c r="K55" s="243">
        <f t="shared" si="16"/>
        <v>0</v>
      </c>
      <c r="L55" s="243">
        <f t="shared" si="16"/>
        <v>0</v>
      </c>
      <c r="M55" s="243">
        <f t="shared" si="16"/>
        <v>0</v>
      </c>
      <c r="N55" s="243">
        <f t="shared" si="16"/>
        <v>0</v>
      </c>
      <c r="O55" s="243">
        <f t="shared" si="16"/>
        <v>0</v>
      </c>
      <c r="P55" s="243">
        <f t="shared" si="16"/>
        <v>0</v>
      </c>
      <c r="Q55" s="243">
        <f t="shared" si="16"/>
        <v>0</v>
      </c>
      <c r="R55" s="243">
        <f t="shared" si="16"/>
        <v>0</v>
      </c>
      <c r="S55" s="243">
        <f t="shared" si="16"/>
        <v>0</v>
      </c>
      <c r="T55" s="243">
        <f t="shared" si="16"/>
        <v>0</v>
      </c>
      <c r="U55" s="243">
        <f t="shared" si="16"/>
        <v>0</v>
      </c>
      <c r="V55" s="243">
        <f t="shared" si="16"/>
        <v>0</v>
      </c>
      <c r="W55" s="243">
        <f t="shared" si="16"/>
        <v>0</v>
      </c>
      <c r="X55" s="243">
        <f t="shared" si="16"/>
        <v>0</v>
      </c>
      <c r="Y55" s="243"/>
    </row>
    <row r="56" spans="4:25" x14ac:dyDescent="0.2">
      <c r="D56" s="246" t="s">
        <v>453</v>
      </c>
      <c r="E56" s="243">
        <v>0</v>
      </c>
      <c r="F56" s="243">
        <f t="shared" ref="F56:X56" si="17">IF(AND(F54="Y", G54="N"),  1, 0)</f>
        <v>0</v>
      </c>
      <c r="G56" s="243">
        <f t="shared" si="17"/>
        <v>0</v>
      </c>
      <c r="H56" s="243">
        <f t="shared" si="17"/>
        <v>0</v>
      </c>
      <c r="I56" s="243">
        <f t="shared" si="17"/>
        <v>0</v>
      </c>
      <c r="J56" s="243">
        <f t="shared" si="17"/>
        <v>0</v>
      </c>
      <c r="K56" s="243">
        <f t="shared" si="17"/>
        <v>0</v>
      </c>
      <c r="L56" s="243">
        <f t="shared" si="17"/>
        <v>0</v>
      </c>
      <c r="M56" s="243">
        <f t="shared" si="17"/>
        <v>0</v>
      </c>
      <c r="N56" s="243">
        <f t="shared" si="17"/>
        <v>0</v>
      </c>
      <c r="O56" s="243">
        <f t="shared" si="17"/>
        <v>0</v>
      </c>
      <c r="P56" s="243">
        <f t="shared" si="17"/>
        <v>0</v>
      </c>
      <c r="Q56" s="243">
        <f t="shared" si="17"/>
        <v>0</v>
      </c>
      <c r="R56" s="243">
        <f t="shared" si="17"/>
        <v>0</v>
      </c>
      <c r="S56" s="243">
        <f t="shared" si="17"/>
        <v>0</v>
      </c>
      <c r="T56" s="243">
        <f t="shared" si="17"/>
        <v>0</v>
      </c>
      <c r="U56" s="243">
        <f t="shared" si="17"/>
        <v>0</v>
      </c>
      <c r="V56" s="243">
        <f t="shared" si="17"/>
        <v>0</v>
      </c>
      <c r="W56" s="243">
        <f t="shared" si="17"/>
        <v>0</v>
      </c>
      <c r="X56" s="243">
        <f t="shared" si="17"/>
        <v>1</v>
      </c>
      <c r="Y56" s="243"/>
    </row>
    <row r="58" spans="4:25" x14ac:dyDescent="0.2">
      <c r="D58" s="243" t="s">
        <v>455</v>
      </c>
      <c r="E58" s="243">
        <f t="shared" ref="E58:X58" si="18">E55*E35</f>
        <v>12</v>
      </c>
      <c r="F58" s="243">
        <f t="shared" si="18"/>
        <v>0</v>
      </c>
      <c r="G58" s="243">
        <f t="shared" si="18"/>
        <v>0</v>
      </c>
      <c r="H58" s="243">
        <f t="shared" si="18"/>
        <v>0</v>
      </c>
      <c r="I58" s="243">
        <f t="shared" si="18"/>
        <v>0</v>
      </c>
      <c r="J58" s="243">
        <f t="shared" si="18"/>
        <v>0</v>
      </c>
      <c r="K58" s="243">
        <f t="shared" si="18"/>
        <v>0</v>
      </c>
      <c r="L58" s="243">
        <f t="shared" si="18"/>
        <v>0</v>
      </c>
      <c r="M58" s="243">
        <f t="shared" si="18"/>
        <v>0</v>
      </c>
      <c r="N58" s="243">
        <f t="shared" si="18"/>
        <v>0</v>
      </c>
      <c r="O58" s="243">
        <f t="shared" si="18"/>
        <v>0</v>
      </c>
      <c r="P58" s="243">
        <f t="shared" si="18"/>
        <v>0</v>
      </c>
      <c r="Q58" s="243">
        <f t="shared" si="18"/>
        <v>0</v>
      </c>
      <c r="R58" s="243">
        <f t="shared" si="18"/>
        <v>0</v>
      </c>
      <c r="S58" s="243">
        <f t="shared" si="18"/>
        <v>0</v>
      </c>
      <c r="T58" s="243">
        <f t="shared" si="18"/>
        <v>0</v>
      </c>
      <c r="U58" s="243">
        <f t="shared" si="18"/>
        <v>0</v>
      </c>
      <c r="V58" s="243">
        <f t="shared" si="18"/>
        <v>0</v>
      </c>
      <c r="W58" s="243">
        <f t="shared" si="18"/>
        <v>0</v>
      </c>
      <c r="X58" s="243">
        <f t="shared" si="18"/>
        <v>0</v>
      </c>
      <c r="Y58" s="243"/>
    </row>
    <row r="59" spans="4:25" x14ac:dyDescent="0.2">
      <c r="D59" s="243" t="s">
        <v>456</v>
      </c>
      <c r="E59" s="243">
        <f t="shared" ref="E59:X59" si="19">E35*E56</f>
        <v>0</v>
      </c>
      <c r="F59" s="243">
        <f t="shared" si="19"/>
        <v>0</v>
      </c>
      <c r="G59" s="243">
        <f t="shared" si="19"/>
        <v>0</v>
      </c>
      <c r="H59" s="243">
        <f t="shared" si="19"/>
        <v>0</v>
      </c>
      <c r="I59" s="243">
        <f t="shared" si="19"/>
        <v>0</v>
      </c>
      <c r="J59" s="243">
        <f t="shared" si="19"/>
        <v>0</v>
      </c>
      <c r="K59" s="243">
        <f t="shared" si="19"/>
        <v>0</v>
      </c>
      <c r="L59" s="243">
        <f t="shared" si="19"/>
        <v>0</v>
      </c>
      <c r="M59" s="243">
        <f t="shared" si="19"/>
        <v>0</v>
      </c>
      <c r="N59" s="243">
        <f t="shared" si="19"/>
        <v>0</v>
      </c>
      <c r="O59" s="243">
        <f t="shared" si="19"/>
        <v>0</v>
      </c>
      <c r="P59" s="243">
        <f t="shared" si="19"/>
        <v>0</v>
      </c>
      <c r="Q59" s="243">
        <f t="shared" si="19"/>
        <v>0</v>
      </c>
      <c r="R59" s="243">
        <f t="shared" si="19"/>
        <v>0</v>
      </c>
      <c r="S59" s="243">
        <f t="shared" si="19"/>
        <v>0</v>
      </c>
      <c r="T59" s="243">
        <f t="shared" si="19"/>
        <v>0</v>
      </c>
      <c r="U59" s="243">
        <f t="shared" si="19"/>
        <v>0</v>
      </c>
      <c r="V59" s="243">
        <f t="shared" si="19"/>
        <v>0</v>
      </c>
      <c r="W59" s="243">
        <f t="shared" si="19"/>
        <v>0</v>
      </c>
      <c r="X59" s="243">
        <f t="shared" si="19"/>
        <v>5.9999999999999984E-2</v>
      </c>
      <c r="Y59" s="243"/>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0D158BE899886458E1CEE0819B3F683" ma:contentTypeVersion="12" ma:contentTypeDescription="Crear nuevo documento." ma:contentTypeScope="" ma:versionID="99cac6c588a4d046b58588f991a77671">
  <xsd:schema xmlns:xsd="http://www.w3.org/2001/XMLSchema" xmlns:xs="http://www.w3.org/2001/XMLSchema" xmlns:p="http://schemas.microsoft.com/office/2006/metadata/properties" xmlns:ns2="8ad4b8cd-3535-4052-b393-6bb7f2b96a28" xmlns:ns3="319b967d-2ceb-4b09-9659-6455dfd19f0c" targetNamespace="http://schemas.microsoft.com/office/2006/metadata/properties" ma:root="true" ma:fieldsID="a94e666564743d3087628f6fbb649f36" ns2:_="" ns3:_="">
    <xsd:import namespace="8ad4b8cd-3535-4052-b393-6bb7f2b96a28"/>
    <xsd:import namespace="319b967d-2ceb-4b09-9659-6455dfd19f0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d4b8cd-3535-4052-b393-6bb7f2b96a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19b967d-2ceb-4b09-9659-6455dfd19f0c"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EE9B831-0C85-4ECC-951D-15FE040707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d4b8cd-3535-4052-b393-6bb7f2b96a28"/>
    <ds:schemaRef ds:uri="319b967d-2ceb-4b09-9659-6455dfd19f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0E7213C-EB81-44CF-9757-6BC109954BCA}">
  <ds:schemaRefs>
    <ds:schemaRef ds:uri="319b967d-2ceb-4b09-9659-6455dfd19f0c"/>
    <ds:schemaRef ds:uri="http://schemas.microsoft.com/office/infopath/2007/PartnerControls"/>
    <ds:schemaRef ds:uri="http://schemas.openxmlformats.org/package/2006/metadata/core-properties"/>
    <ds:schemaRef ds:uri="http://purl.org/dc/dcmitype/"/>
    <ds:schemaRef ds:uri="http://www.w3.org/XML/1998/namespace"/>
    <ds:schemaRef ds:uri="http://schemas.microsoft.com/office/2006/documentManagement/types"/>
    <ds:schemaRef ds:uri="http://purl.org/dc/terms/"/>
    <ds:schemaRef ds:uri="http://schemas.microsoft.com/office/2006/metadata/properties"/>
    <ds:schemaRef ds:uri="http://purl.org/dc/elements/1.1/"/>
    <ds:schemaRef ds:uri="8ad4b8cd-3535-4052-b393-6bb7f2b96a28"/>
  </ds:schemaRefs>
</ds:datastoreItem>
</file>

<file path=customXml/itemProps3.xml><?xml version="1.0" encoding="utf-8"?>
<ds:datastoreItem xmlns:ds="http://schemas.openxmlformats.org/officeDocument/2006/customXml" ds:itemID="{3B96B0A9-E706-44C7-A8F1-19DE242839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35</vt:i4>
      </vt:variant>
    </vt:vector>
  </HeadingPairs>
  <TitlesOfParts>
    <vt:vector size="42" baseType="lpstr">
      <vt:lpstr>Instructions</vt:lpstr>
      <vt:lpstr>Design Calculator</vt:lpstr>
      <vt:lpstr>Device Parmaters</vt:lpstr>
      <vt:lpstr>Equations</vt:lpstr>
      <vt:lpstr>Start_up</vt:lpstr>
      <vt:lpstr>SOA</vt:lpstr>
      <vt:lpstr>dv_dt_recommendations</vt:lpstr>
      <vt:lpstr>'Design Calculator'!Área_de_impresión</vt:lpstr>
      <vt:lpstr>CLMAX</vt:lpstr>
      <vt:lpstr>CLMAX_Threshold</vt:lpstr>
      <vt:lpstr>CLMIN</vt:lpstr>
      <vt:lpstr>CLMIN_Threshold</vt:lpstr>
      <vt:lpstr>CLNOM</vt:lpstr>
      <vt:lpstr>CLNOM_Threshold</vt:lpstr>
      <vt:lpstr>COUTMAX</vt:lpstr>
      <vt:lpstr>FETPDISS</vt:lpstr>
      <vt:lpstr>I_Cout_ss</vt:lpstr>
      <vt:lpstr>IOUTMAX</vt:lpstr>
      <vt:lpstr>NUMFETS</vt:lpstr>
      <vt:lpstr>RDIV1</vt:lpstr>
      <vt:lpstr>RDIV2</vt:lpstr>
      <vt:lpstr>RDSON</vt:lpstr>
      <vt:lpstr>RPWR</vt:lpstr>
      <vt:lpstr>Rs</vt:lpstr>
      <vt:lpstr>RsEFF</vt:lpstr>
      <vt:lpstr>RsMAX</vt:lpstr>
      <vt:lpstr>ss_rate</vt:lpstr>
      <vt:lpstr>TAMB</vt:lpstr>
      <vt:lpstr>Tfault</vt:lpstr>
      <vt:lpstr>ThetaJA</vt:lpstr>
      <vt:lpstr>TINSERT</vt:lpstr>
      <vt:lpstr>TINSERTMAX</vt:lpstr>
      <vt:lpstr>TINSERTMIN</vt:lpstr>
      <vt:lpstr>TJ</vt:lpstr>
      <vt:lpstr>TJMAX</vt:lpstr>
      <vt:lpstr>TSTARTMAX</vt:lpstr>
      <vt:lpstr>TSTARTMIN</vt:lpstr>
      <vt:lpstr>TSTARTNOM</vt:lpstr>
      <vt:lpstr>VINMAX</vt:lpstr>
      <vt:lpstr>VINMIN</vt:lpstr>
      <vt:lpstr>VINNOM</vt:lpstr>
      <vt:lpstr>yesno</vt:lpstr>
    </vt:vector>
  </TitlesOfParts>
  <Company>NSC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LM25066/I Design Tool</dc:title>
  <dc:creator>Timothy Hegarty</dc:creator>
  <cp:lastModifiedBy>Anonimo</cp:lastModifiedBy>
  <cp:lastPrinted>2013-08-26T22:42:43Z</cp:lastPrinted>
  <dcterms:created xsi:type="dcterms:W3CDTF">2009-04-21T16:00:33Z</dcterms:created>
  <dcterms:modified xsi:type="dcterms:W3CDTF">2021-03-02T08:25:09Z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0x010100A0D158BE899886458E1CEE0819B3F683</vt:lpwstr>
  </property>
</Properties>
</file>