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0140" windowHeight="7110" activeTab="0"/>
  </bookViews>
  <sheets>
    <sheet name="LM25085A" sheetId="1" r:id="rId1"/>
  </sheets>
  <definedNames>
    <definedName name="__Cac">'LM25085A'!$AB$233</definedName>
    <definedName name="__Cff">'LM25085A'!$AB$222</definedName>
    <definedName name="__Cinmin">'LM25085A'!$AB$192</definedName>
    <definedName name="__LM">'LM25085A'!$AB$165</definedName>
    <definedName name="__Radj_min">'LM25085A'!$AB$179</definedName>
    <definedName name="__Rdcr">'LM25085A'!$AB$230</definedName>
    <definedName name="__Rfb1">'LM25085A'!$AB$139</definedName>
    <definedName name="__Rt">'LM25085A'!$AB$150</definedName>
    <definedName name="_Cac">'LM25085A'!$AB$232</definedName>
    <definedName name="_Cff">'LM25085A'!$AB$221</definedName>
    <definedName name="_Cinmin">'LM25085A'!$AB$191</definedName>
    <definedName name="_LM">'LM25085A'!$AB$164</definedName>
    <definedName name="_Radj_min">'LM25085A'!$AB$178</definedName>
    <definedName name="_Rdcr">'LM25085A'!$AB$229</definedName>
    <definedName name="_Rfb1">'LM25085A'!$AB$138</definedName>
    <definedName name="_Rt">'LM25085A'!$AB$149</definedName>
    <definedName name="BG">'LM25085A'!$AB$100</definedName>
    <definedName name="Cadj">'LM25085A'!$AB$115</definedName>
    <definedName name="Cbyp">'LM25085A'!$AB$116</definedName>
    <definedName name="Cdcr">'LM25085A'!$AB$226</definedName>
    <definedName name="Cff">'LM25085A'!$AB$223</definedName>
    <definedName name="Cff_">'LM25085A'!$E$61</definedName>
    <definedName name="CHECK1">'LM25085A'!$AB$155</definedName>
    <definedName name="CHECK2">'LM25085A'!$AB$250</definedName>
    <definedName name="Cin">'LM25085A'!$AB$193</definedName>
    <definedName name="Cin_">'LM25085A'!$E$48</definedName>
    <definedName name="Cin_Iripple">'LM25085A'!$AB$195</definedName>
    <definedName name="Cout">'LM25085A'!$AB$214</definedName>
    <definedName name="Cout_">'LM25085A'!$E$57</definedName>
    <definedName name="Cout_Iripple">'LM25085A'!$AB$215</definedName>
    <definedName name="Coutmin">'LM25085A'!$AB$213</definedName>
    <definedName name="Coutmin_LCO">'LM25085A'!$AB$212</definedName>
    <definedName name="Coutmin_Rcripple">'LM25085A'!$AB$211</definedName>
    <definedName name="Coutmin_Reso">'LM25085A'!$AB$210</definedName>
    <definedName name="CSType">'LM25085A'!$E$37</definedName>
    <definedName name="Cvcc">'LM25085A'!$AB$117</definedName>
    <definedName name="D_Irms">'LM25085A'!$AB$258</definedName>
    <definedName name="DIODE">'LM25085A'!$E$77</definedName>
    <definedName name="Dmax">'LM25085A'!$AB$194</definedName>
    <definedName name="Evout">'LM25085A'!$AB$141</definedName>
    <definedName name="Fs">'LM25085A'!$AB$147</definedName>
    <definedName name="Fs_">'LM25085A'!$E$26</definedName>
    <definedName name="Fs_atVinmax">'LM25085A'!$AF$153</definedName>
    <definedName name="Fs_atVinmin">'LM25085A'!$AB$153</definedName>
    <definedName name="Fs_atVinnom">'LM25085A'!$AD$153</definedName>
    <definedName name="Fsmax">'LM25085A'!$AB$248</definedName>
    <definedName name="Iadjmax">'LM25085A'!$AB$105</definedName>
    <definedName name="Iadjmin">'LM25085A'!$AB$103</definedName>
    <definedName name="Iadjnom">'LM25085A'!$AB$104</definedName>
    <definedName name="IC">'LM25085A'!$E$16</definedName>
    <definedName name="Icc">'LM25085A'!$AB$249</definedName>
    <definedName name="Iccmin">'LM25085A'!$AB$114</definedName>
    <definedName name="Icl_offset">'LM25085A'!$AB$177</definedName>
    <definedName name="Iclmax_atVinmin">'LM25085A'!$AB$182</definedName>
    <definedName name="Iclmin_atVinmax">'LM25085A'!$AF$182</definedName>
    <definedName name="Iclnom_atVinnom">'LM25085A'!$AD$182</definedName>
    <definedName name="Iomax">'LM25085A'!$AB$129</definedName>
    <definedName name="Iomax_">'LM25085A'!$E$14</definedName>
    <definedName name="Iomin">'LM25085A'!$AB$130</definedName>
    <definedName name="Iomin_">'LM25085A'!$E$15</definedName>
    <definedName name="Ipeak_atVinmax">'LM25085A'!$AF$168</definedName>
    <definedName name="Ipeak_atVinmin">'LM25085A'!$AB$168</definedName>
    <definedName name="Ipeak_atVinnom">'LM25085A'!$AD$168</definedName>
    <definedName name="Ivin">'LM25085A'!$AB$109</definedName>
    <definedName name="LM">'LM25085A'!$AB$166</definedName>
    <definedName name="LM_">'LM25085A'!$E$33</definedName>
    <definedName name="Lmin">'LM25085A'!$AB$163</definedName>
    <definedName name="Lnom">'LM25085A'!$AB$162</definedName>
    <definedName name="MaxCout">'LM25085A'!$AB$216</definedName>
    <definedName name="maxESRo">'LM25085A'!$AB$204</definedName>
    <definedName name="maxESRo_OVP">'LM25085A'!$AB$203</definedName>
    <definedName name="maxESRo_ripple">'LM25085A'!$AB$202</definedName>
    <definedName name="maxIpp">'LM25085A'!$AB$161</definedName>
    <definedName name="maxR_vin">'LM25085A'!$E$46</definedName>
    <definedName name="MaxRsen">'LM25085A'!$AB$172</definedName>
    <definedName name="minESRo_jitter">'LM25085A'!$AB$201</definedName>
    <definedName name="minRippleonFB">'LM25085A'!$AB$107</definedName>
    <definedName name="MinRsen">'LM25085A'!$AB$171</definedName>
    <definedName name="NDmax">'LM25085A'!$AB$257</definedName>
    <definedName name="nomIpp">'LM25085A'!$AB$160</definedName>
    <definedName name="OVPthmin">'LM25085A'!$AB$106</definedName>
    <definedName name="Pd_diode">'LM25085A'!$AB$259</definedName>
    <definedName name="Pdic">'LM25085A'!$AB$251</definedName>
    <definedName name="PFET">'LM25085A'!$E$27</definedName>
    <definedName name="Plossmax_Rsen">'LM25085A'!$AB$184</definedName>
    <definedName name="Plossnom_Rsen">'LM25085A'!$AB$185</definedName>
    <definedName name="_xlnm.Print_Area" localSheetId="0">'LM25085A'!$A$1:$K$80</definedName>
    <definedName name="Qg">'LM25085A'!$AB$247</definedName>
    <definedName name="Qg_">'LM25085A'!$E$70</definedName>
    <definedName name="Radj">'LM25085A'!$AB$180</definedName>
    <definedName name="Radj_">'LM25085A'!$E$42</definedName>
    <definedName name="RCripple">'LM25085A'!$AB$118</definedName>
    <definedName name="RCType">'LM25085A'!$E$52</definedName>
    <definedName name="Rdcr">'LM25085A'!$AB$231</definedName>
    <definedName name="Rdcr_">'LM25085A'!$E$64</definedName>
    <definedName name="RdcrCdcr">'LM25085A'!$AB$228</definedName>
    <definedName name="Rdson">'LM25085A'!$AB$174</definedName>
    <definedName name="Rdson_">'LM25085A'!$E$38</definedName>
    <definedName name="Reff">'LM25085A'!$AB$176</definedName>
    <definedName name="RESR">'LM25085A'!$AB$205</definedName>
    <definedName name="RESR_">'LM25085A'!$E$55</definedName>
    <definedName name="Rf2overRf1">'LM25085A'!$AB$136</definedName>
    <definedName name="Rfb1">'LM25085A'!$AB$140</definedName>
    <definedName name="Rfb1_">'LM25085A'!$E$22</definedName>
    <definedName name="Rfb2">'LM25085A'!$AB$137</definedName>
    <definedName name="Rfb2_">'LM25085A'!$E$20</definedName>
    <definedName name="RR">'LM25085A'!$AB$119</definedName>
    <definedName name="Rsen">'LM25085A'!$AB$175</definedName>
    <definedName name="Rsen_">'LM25085A'!$E$39</definedName>
    <definedName name="Rt">'LM25085A'!$AB$151</definedName>
    <definedName name="Rthja_LLP8">'LM25085A'!$AB$112</definedName>
    <definedName name="Rthja_MSOP8">'LM25085A'!$AB$110</definedName>
    <definedName name="Rthja_MSOP8EP">'LM25085A'!$AB$111</definedName>
    <definedName name="Senseoffset">'LM25085A'!$AB$102</definedName>
    <definedName name="Tdfet">'LM25085A'!$AB$148</definedName>
    <definedName name="Tdfet_">'LM25085A'!$E$28</definedName>
    <definedName name="Tdic">'LM25085A'!$AB$101</definedName>
    <definedName name="TempR_LLP8">'LM25085A'!$AB$254</definedName>
    <definedName name="TempR_MSOP8">'LM25085A'!$AB$252</definedName>
    <definedName name="TempR_MSOP8EP">'LM25085A'!$AB$253</definedName>
    <definedName name="Ton_atVinmax">'LM25085A'!$AF$154</definedName>
    <definedName name="Ton_atVinmin">'LM25085A'!$AB$154</definedName>
    <definedName name="Ton_atVinnom">'LM25085A'!$AD$154</definedName>
    <definedName name="Tssmin">'LM25085A'!$AB$113</definedName>
    <definedName name="VA">'LM25085A'!$AB$227</definedName>
    <definedName name="Vf">'LM25085A'!$E$78</definedName>
    <definedName name="Vinmax">'LM25085A'!$AB$125</definedName>
    <definedName name="Vinmax_">'LM25085A'!$E$10</definedName>
    <definedName name="Vinmin">'LM25085A'!$AB$127</definedName>
    <definedName name="Vinmin_">'LM25085A'!$E$12</definedName>
    <definedName name="Vinnom">'LM25085A'!$AB$126</definedName>
    <definedName name="Vinnom_">'LM25085A'!$E$11</definedName>
    <definedName name="Voripplemax">'LM25085A'!$AB$241</definedName>
    <definedName name="Voripplemax_Cout">'LM25085A'!$AB$237</definedName>
    <definedName name="Voripplemax_RESR">'LM25085A'!$AB$239</definedName>
    <definedName name="Voripplemin">'LM25085A'!$AB$240</definedName>
    <definedName name="Voripplemin_Cout">'LM25085A'!$AB$236</definedName>
    <definedName name="Voripplemin_RESR">'LM25085A'!$AB$238</definedName>
    <definedName name="Vout">'LM25085A'!$AB$128</definedName>
    <definedName name="Vout_">'LM25085A'!$E$13</definedName>
    <definedName name="Vsw">'LM25085A'!$AB$108</definedName>
  </definedNames>
  <calcPr fullCalcOnLoad="1"/>
</workbook>
</file>

<file path=xl/comments1.xml><?xml version="1.0" encoding="utf-8"?>
<comments xmlns="http://schemas.openxmlformats.org/spreadsheetml/2006/main">
  <authors>
    <author>dmorgan</author>
    <author>csylhk</author>
  </authors>
  <commentList>
    <comment ref="E20" authorId="0">
      <text>
        <r>
          <rPr>
            <b/>
            <sz val="10"/>
            <rFont val="Arial"/>
            <family val="2"/>
          </rPr>
          <t>Select a resistor between 1k and 20k ohms.</t>
        </r>
      </text>
    </comment>
    <comment ref="E25" authorId="0">
      <text>
        <r>
          <rPr>
            <b/>
            <sz val="10"/>
            <rFont val="Arial"/>
            <family val="2"/>
          </rPr>
          <t>The maximum allowed frequency is based on a minimum required on-time of 150 ns.</t>
        </r>
      </text>
    </comment>
    <comment ref="E26" authorId="0">
      <text>
        <r>
          <rPr>
            <b/>
            <sz val="10"/>
            <rFont val="Arial"/>
            <family val="2"/>
          </rPr>
          <t>Enter the desired switching frequency for your application. It must be less than the maximum allowed value.</t>
        </r>
      </text>
    </comment>
    <comment ref="E27" authorId="0">
      <text>
        <r>
          <rPr>
            <b/>
            <sz val="10"/>
            <rFont val="Arial"/>
            <family val="2"/>
          </rPr>
          <t>Enter the part number of the selected PFET.</t>
        </r>
      </text>
    </comment>
    <comment ref="E33" authorId="0">
      <text>
        <r>
          <rPr>
            <b/>
            <sz val="10"/>
            <rFont val="Arial"/>
            <family val="2"/>
          </rPr>
          <t>Enter the next larger standard value inductor.</t>
        </r>
      </text>
    </comment>
    <comment ref="E34" authorId="0">
      <text>
        <r>
          <rPr>
            <b/>
            <sz val="10"/>
            <rFont val="Arial"/>
            <family val="2"/>
          </rPr>
          <t>The selected inductor must be rated for at least this much current, but preferably rated for the nominal current limit value below.</t>
        </r>
      </text>
    </comment>
    <comment ref="E42" authorId="0">
      <text>
        <r>
          <rPr>
            <b/>
            <sz val="10"/>
            <rFont val="Arial"/>
            <family val="2"/>
          </rPr>
          <t>Enter the next larger standard value resistor.</t>
        </r>
      </text>
    </comment>
    <comment ref="E43" authorId="0">
      <text>
        <r>
          <rPr>
            <b/>
            <sz val="10"/>
            <rFont val="Arial"/>
            <family val="2"/>
          </rPr>
          <t>This is the nominal value for the load current at current limit detection, with tolerances accounted for.</t>
        </r>
      </text>
    </comment>
    <comment ref="E46" authorId="0">
      <text>
        <r>
          <rPr>
            <b/>
            <sz val="10"/>
            <rFont val="Arial"/>
            <family val="2"/>
          </rPr>
          <t>If the minimum input voltage is 5V or less, this entry must be no larger than 0.5V. Vin must not go below 4.2V due to input ripple.</t>
        </r>
      </text>
    </comment>
    <comment ref="E48" authorId="0">
      <text>
        <r>
          <rPr>
            <b/>
            <sz val="10"/>
            <rFont val="Arial"/>
            <family val="2"/>
          </rPr>
          <t>Ceramic capacitors are recommended to minimize heating in the capacitor, and input ripple.</t>
        </r>
      </text>
    </comment>
    <comment ref="E49" authorId="0">
      <text>
        <r>
          <rPr>
            <b/>
            <sz val="10"/>
            <rFont val="Arial"/>
            <family val="2"/>
          </rPr>
          <t>Ensure the selected capacitor is rated for this ripple current.</t>
        </r>
      </text>
    </comment>
    <comment ref="E58" authorId="0">
      <text>
        <r>
          <rPr>
            <b/>
            <sz val="10"/>
            <rFont val="Arial"/>
            <family val="2"/>
          </rPr>
          <t>Ensure the selected capacitor is rated for this ripple current.</t>
        </r>
      </text>
    </comment>
    <comment ref="E64" authorId="0">
      <text>
        <r>
          <rPr>
            <b/>
            <sz val="10"/>
            <rFont val="Arial"/>
            <family val="2"/>
          </rPr>
          <t>Select the next smaller standard value resistor.</t>
        </r>
      </text>
    </comment>
    <comment ref="E70" authorId="0">
      <text>
        <r>
          <rPr>
            <b/>
            <sz val="10"/>
            <rFont val="Arial"/>
            <family val="2"/>
          </rPr>
          <t>From the PFET's datasheet, enter the value of the total gate charge.</t>
        </r>
      </text>
    </comment>
    <comment ref="E71" authorId="0">
      <text>
        <r>
          <rPr>
            <b/>
            <sz val="10"/>
            <rFont val="Arial"/>
            <family val="2"/>
          </rPr>
          <t>This is the estimated power dissipation in the LM25085A based on the PFET's gate charge and the switching frequency. Reducing either one or both reduces the IC power dissipation.</t>
        </r>
      </text>
    </comment>
    <comment ref="E72" authorId="0">
      <text>
        <r>
          <rPr>
            <b/>
            <sz val="10"/>
            <rFont val="Arial"/>
            <family val="2"/>
          </rPr>
          <t>This is based on a standard JEDEC test board.</t>
        </r>
      </text>
    </comment>
    <comment ref="E73" authorId="0">
      <text>
        <r>
          <rPr>
            <b/>
            <sz val="10"/>
            <rFont val="Arial"/>
            <family val="2"/>
          </rPr>
          <t>This is based on a standard JEDEC test board.</t>
        </r>
      </text>
    </comment>
    <comment ref="E74" authorId="0">
      <text>
        <r>
          <rPr>
            <b/>
            <sz val="10"/>
            <rFont val="Arial"/>
            <family val="2"/>
          </rPr>
          <t>This is based on a standard JEDEC test board.</t>
        </r>
      </text>
    </comment>
    <comment ref="E77" authorId="0">
      <text>
        <r>
          <rPr>
            <b/>
            <sz val="10"/>
            <rFont val="Arial"/>
            <family val="2"/>
          </rPr>
          <t>Enter the part number of the selected diode. A Schottky diode is recommended.</t>
        </r>
      </text>
    </comment>
    <comment ref="E78" authorId="0">
      <text>
        <r>
          <rPr>
            <b/>
            <sz val="10"/>
            <rFont val="Arial"/>
            <family val="2"/>
          </rPr>
          <t>From the diode's datasheet, insert the value of the forward voltage drop at the maximum load current.</t>
        </r>
      </text>
    </comment>
    <comment ref="E79" authorId="0">
      <text>
        <r>
          <rPr>
            <b/>
            <sz val="10"/>
            <rFont val="Arial"/>
            <family val="2"/>
          </rPr>
          <t>The maximum power dissipation in the diode occurs at maximum input voltage and maximum load current.</t>
        </r>
      </text>
    </comment>
    <comment ref="C37" authorId="0">
      <text>
        <r>
          <rPr>
            <b/>
            <sz val="10"/>
            <rFont val="Arial"/>
            <family val="2"/>
          </rPr>
          <t>Using a sense resistor (Type 1) is more accurate and stable over temperature. Using the PFET's Rds(on) (Type 2) results in a larger tolerance and temperature variation.
See the schematics above.</t>
        </r>
      </text>
    </comment>
    <comment ref="C52" authorId="0">
      <text>
        <r>
          <rPr>
            <b/>
            <sz val="10"/>
            <rFont val="Arial"/>
            <family val="2"/>
          </rPr>
          <t>Type 1 is the lowest cost, but produces the highest ripple at Vout. 
Type 2 produces less ripple at Vout by adding one capacitor. 
Type 3 produces the minimum ripple at Vout (&lt;10 mV typically) by adding two capacitors.
See the schematics at right.</t>
        </r>
      </text>
    </comment>
    <comment ref="E44" authorId="1">
      <text>
        <r>
          <rPr>
            <b/>
            <sz val="10"/>
            <rFont val="Arial"/>
            <family val="2"/>
          </rPr>
          <t>This power dissipation is based on the maximum current limit value, which is calculated with all tolerances.</t>
        </r>
        <r>
          <rPr>
            <sz val="10"/>
            <rFont val="Tahoma"/>
            <family val="2"/>
          </rPr>
          <t xml:space="preserve">
</t>
        </r>
      </text>
    </comment>
    <comment ref="E28" authorId="0">
      <text>
        <r>
          <rPr>
            <b/>
            <sz val="10"/>
            <rFont val="Arial"/>
            <family val="2"/>
          </rPr>
          <t>From the PFET's datasheet, enter the difference of the Turn-off Delay and the Turn-on Delay [Td(off)-Td(on)].</t>
        </r>
      </text>
    </comment>
    <comment ref="E38" authorId="0">
      <text>
        <r>
          <rPr>
            <b/>
            <sz val="10"/>
            <rFont val="Arial"/>
            <family val="2"/>
          </rPr>
          <t>Enter the maximum Rds(on) of the selected PFET from its datasheet (Current Limit Type 2 only)</t>
        </r>
      </text>
    </comment>
    <comment ref="E39" authorId="0">
      <text>
        <r>
          <rPr>
            <b/>
            <sz val="10"/>
            <rFont val="Arial"/>
            <family val="2"/>
          </rPr>
          <t>(Current Limit Type 1 only) Enter the largest practical value for the sense resistor, taking into consideration the power in this resistor at maximum load current. The resistor should have at least 50 mV across it at maximum load current. A higher value reduces the effects of the offset tolerance, reducing the overall current limit tolerance.</t>
        </r>
      </text>
    </comment>
    <comment ref="E41" authorId="0">
      <text>
        <r>
          <rPr>
            <b/>
            <sz val="10"/>
            <rFont val="Arial"/>
            <family val="2"/>
          </rPr>
          <t>This resistor sets the current limit threshold for the peak of the current waveform, and is calculated with tolerances accounted for.</t>
        </r>
      </text>
    </comment>
    <comment ref="E55" authorId="0">
      <text>
        <r>
          <rPr>
            <b/>
            <sz val="10"/>
            <rFont val="Arial"/>
            <family val="2"/>
          </rPr>
          <t>Choose the next larger standard value resistor above the recommended value. If type 3 configuration is chosen, enter zero.</t>
        </r>
      </text>
    </comment>
    <comment ref="E57" authorId="0">
      <text>
        <r>
          <rPr>
            <b/>
            <sz val="10"/>
            <rFont val="Arial"/>
            <family val="2"/>
          </rPr>
          <t>The minimum recommended value is based on ripple calculations. Other considerations in the selection of the output capacitor are transient response, and/or other system requirements. Ceramic capacitors are recommended.</t>
        </r>
      </text>
    </comment>
    <comment ref="E10" authorId="0">
      <text>
        <r>
          <rPr>
            <b/>
            <sz val="8"/>
            <rFont val="Tahoma"/>
            <family val="2"/>
          </rPr>
          <t>The maximum allowed input voltage is 42V.</t>
        </r>
      </text>
    </comment>
    <comment ref="E12" authorId="0">
      <text>
        <r>
          <rPr>
            <b/>
            <sz val="8"/>
            <rFont val="Tahoma"/>
            <family val="2"/>
          </rPr>
          <t>The minimum allowed input voltage is 4.5V.</t>
        </r>
      </text>
    </comment>
    <comment ref="E13" authorId="0">
      <text>
        <r>
          <rPr>
            <b/>
            <sz val="8"/>
            <rFont val="Tahoma"/>
            <family val="2"/>
          </rPr>
          <t>Vout must be between 0.9V and the minimum input voltage listed above.</t>
        </r>
      </text>
    </comment>
    <comment ref="E22" authorId="0">
      <text>
        <r>
          <rPr>
            <b/>
            <sz val="8"/>
            <rFont val="Tahoma"/>
            <family val="2"/>
          </rPr>
          <t>Select a standard value resistor equal to or close to the recommended value for Rfb1.</t>
        </r>
      </text>
    </comment>
    <comment ref="E11" authorId="0">
      <text>
        <r>
          <rPr>
            <b/>
            <sz val="8"/>
            <rFont val="Tahoma"/>
            <family val="2"/>
          </rPr>
          <t>Enter the nominal input voltage at which the circuit is expected to operate the majority of the time.</t>
        </r>
      </text>
    </comment>
    <comment ref="E61" authorId="0">
      <text>
        <r>
          <rPr>
            <b/>
            <sz val="8"/>
            <rFont val="Tahoma"/>
            <family val="2"/>
          </rPr>
          <t>Select a value equal to or greater than the minimum recommended value.</t>
        </r>
      </text>
    </comment>
  </commentList>
</comments>
</file>

<file path=xl/sharedStrings.xml><?xml version="1.0" encoding="utf-8"?>
<sst xmlns="http://schemas.openxmlformats.org/spreadsheetml/2006/main" count="221" uniqueCount="221">
  <si>
    <t>Step 1 - General  Requirements</t>
  </si>
  <si>
    <t>Vin(max) [V]</t>
  </si>
  <si>
    <t>Vin(min) [V]</t>
  </si>
  <si>
    <t>Peak Inductor Current [A]</t>
  </si>
  <si>
    <t>Rt</t>
  </si>
  <si>
    <t>Cin</t>
  </si>
  <si>
    <t>Cbyp</t>
  </si>
  <si>
    <t>Cvcc</t>
  </si>
  <si>
    <t>Cadj</t>
  </si>
  <si>
    <t>Radj</t>
  </si>
  <si>
    <t>L1</t>
  </si>
  <si>
    <t>Cff</t>
  </si>
  <si>
    <t>Cout</t>
  </si>
  <si>
    <t>Rfb2</t>
  </si>
  <si>
    <t>Rfb1</t>
  </si>
  <si>
    <t>Rsen or Rdson</t>
  </si>
  <si>
    <t>Io(max), Maximum load current [A]</t>
  </si>
  <si>
    <t>Step 2 - Feedback Resistors</t>
  </si>
  <si>
    <t>Step 4 - Inductor Selection</t>
  </si>
  <si>
    <t>Step 5 - Current Limit Setting</t>
  </si>
  <si>
    <t>List of Components and Parameters</t>
  </si>
  <si>
    <t>Description</t>
  </si>
  <si>
    <t>Reference</t>
  </si>
  <si>
    <t>Value</t>
  </si>
  <si>
    <t>Min Rating</t>
  </si>
  <si>
    <t>Output Capacitor</t>
  </si>
  <si>
    <t>Current Limit Setting Resistor</t>
  </si>
  <si>
    <t>Qg, MOSFET total gate charge [nC]</t>
  </si>
  <si>
    <t>Output Inductor</t>
  </si>
  <si>
    <t>Input Capacitor</t>
  </si>
  <si>
    <t>Vcc Capacitor</t>
  </si>
  <si>
    <t>Noise Filter for Current Limit</t>
  </si>
  <si>
    <t>E6</t>
  </si>
  <si>
    <t>E12</t>
  </si>
  <si>
    <t>Target Vout [V]</t>
  </si>
  <si>
    <t>Vin(nom) [V]</t>
  </si>
  <si>
    <t>Step 3 - Frequency Setting</t>
  </si>
  <si>
    <t>Norminal current limit [A]</t>
  </si>
  <si>
    <t>Maximum RMS Current Ripple [A]</t>
  </si>
  <si>
    <t>Step 6 - Input Capacitor</t>
  </si>
  <si>
    <t>Step 7 - Output Capacitor &amp; Ripple Configulation</t>
  </si>
  <si>
    <t>Step 8 - Power Dissipation in controller</t>
  </si>
  <si>
    <t>Maximum power dissipation in D1 [W]</t>
  </si>
  <si>
    <t xml:space="preserve">PFET </t>
  </si>
  <si>
    <t>Q1</t>
  </si>
  <si>
    <t>Step 9 - Power Dissipation in D1</t>
  </si>
  <si>
    <t>D1</t>
  </si>
  <si>
    <t>Diode</t>
  </si>
  <si>
    <t>BG</t>
  </si>
  <si>
    <t>Tdic</t>
  </si>
  <si>
    <t>Senseoffset</t>
  </si>
  <si>
    <t>Iadjmin</t>
  </si>
  <si>
    <t>Iadjnom</t>
  </si>
  <si>
    <t>Iadjmax</t>
  </si>
  <si>
    <t>minRippleonFB</t>
  </si>
  <si>
    <t>Vsw</t>
  </si>
  <si>
    <t>Ivin</t>
  </si>
  <si>
    <t>Rthja_MSOP8</t>
  </si>
  <si>
    <t>Rthja_MSOP8EP</t>
  </si>
  <si>
    <t>Rthja_LLP8</t>
  </si>
  <si>
    <t>Tssmin</t>
  </si>
  <si>
    <t>Iccmin</t>
  </si>
  <si>
    <t>Vinmax</t>
  </si>
  <si>
    <t>Vinnom</t>
  </si>
  <si>
    <t>Vinmin</t>
  </si>
  <si>
    <t>Vout</t>
  </si>
  <si>
    <t>Iomax</t>
  </si>
  <si>
    <t>Iomin</t>
  </si>
  <si>
    <t>Rf2overRf1</t>
  </si>
  <si>
    <t>_Rfb1</t>
  </si>
  <si>
    <t>__Rfb1</t>
  </si>
  <si>
    <t>Evout</t>
  </si>
  <si>
    <t>Fs</t>
  </si>
  <si>
    <t>Tdfet</t>
  </si>
  <si>
    <t>_Rt</t>
  </si>
  <si>
    <t>__Rt</t>
  </si>
  <si>
    <t>SI7465</t>
  </si>
  <si>
    <t>Fs_atVinmin</t>
  </si>
  <si>
    <t>Fs_atVinnom</t>
  </si>
  <si>
    <t>Fs_atVinmax</t>
  </si>
  <si>
    <t>Ton_atVinmin</t>
  </si>
  <si>
    <t>Ton_atVinnom</t>
  </si>
  <si>
    <t>CHECK1</t>
  </si>
  <si>
    <t>Ton_atVinmax</t>
  </si>
  <si>
    <t>RR</t>
  </si>
  <si>
    <t>nomIpp</t>
  </si>
  <si>
    <t>maxIpp</t>
  </si>
  <si>
    <t>Lnom</t>
  </si>
  <si>
    <t>Lmin</t>
  </si>
  <si>
    <t>Ipeak_atVinmax</t>
  </si>
  <si>
    <t>Ipeak_atVinmin</t>
  </si>
  <si>
    <t>Ipeak_atVinnom</t>
  </si>
  <si>
    <t>_LM</t>
  </si>
  <si>
    <t>__LM</t>
  </si>
  <si>
    <t>LM</t>
  </si>
  <si>
    <t>Rdson</t>
  </si>
  <si>
    <t>Rsen</t>
  </si>
  <si>
    <t>Reff</t>
  </si>
  <si>
    <t>Icl_offset</t>
  </si>
  <si>
    <t>_Radj_min</t>
  </si>
  <si>
    <t>__Radj_min</t>
  </si>
  <si>
    <t>Iclmin_atVinmax</t>
  </si>
  <si>
    <t>Iclnom_atVinnom</t>
  </si>
  <si>
    <t>Iclmax_atVinmin</t>
  </si>
  <si>
    <t>Plossmax_Rsen</t>
  </si>
  <si>
    <t>Io(min), Minimum load current [A]</t>
  </si>
  <si>
    <t>Actual Vout [V]</t>
  </si>
  <si>
    <t>Desired Switching Frequency  [kHz]</t>
  </si>
  <si>
    <t>User select the PFET</t>
  </si>
  <si>
    <t>User Select the value for L1 [μH]</t>
  </si>
  <si>
    <t xml:space="preserve">User select the Current Limit Type </t>
  </si>
  <si>
    <t>User select the ripple Configuration Type</t>
  </si>
  <si>
    <t>Recommended value for R4 [mOhm]</t>
  </si>
  <si>
    <t>Maximum allowed value for R4 [mOhm]</t>
  </si>
  <si>
    <t>User select the value for R4 [mOhm]</t>
  </si>
  <si>
    <t>Resulting Min Output Ripple [mVp-p]</t>
  </si>
  <si>
    <t>Resulting Max Output Ripple [mVp-p]</t>
  </si>
  <si>
    <t>Power dissipation in the controller IC [W]</t>
  </si>
  <si>
    <t>Temperature Rise using the MSOP-8EP package [ºC]</t>
  </si>
  <si>
    <t>Temperature Rise using the LLP-8 package [ºC]</t>
  </si>
  <si>
    <t>Temperature Rise using the MSOP-8 package [ºC]</t>
  </si>
  <si>
    <t>User select the diode, D1</t>
  </si>
  <si>
    <t>Forward diode drop at maximum load current [V]</t>
  </si>
  <si>
    <t>R4</t>
  </si>
  <si>
    <t>Lower Feedback Resistor</t>
  </si>
  <si>
    <t>Upper Feedback Resistor</t>
  </si>
  <si>
    <t>Frequency Setting Resistor</t>
  </si>
  <si>
    <t>Current Limit Sense Resistor</t>
  </si>
  <si>
    <t>maxR_Vin</t>
  </si>
  <si>
    <t>_Cinmin</t>
  </si>
  <si>
    <t>__Cinmin</t>
  </si>
  <si>
    <t>Dmax</t>
  </si>
  <si>
    <t>Cin_Iripple</t>
  </si>
  <si>
    <t>minESRo_jitter</t>
  </si>
  <si>
    <t>maxESRo_ripple</t>
  </si>
  <si>
    <t>maxESRo_OVP</t>
  </si>
  <si>
    <t>OVPthmin</t>
  </si>
  <si>
    <t>maxESRo</t>
  </si>
  <si>
    <t>RESR</t>
  </si>
  <si>
    <t>CSType</t>
  </si>
  <si>
    <t>RCType</t>
  </si>
  <si>
    <t>Coutmin_Rcripple</t>
  </si>
  <si>
    <t>Coutmin_LCO</t>
  </si>
  <si>
    <t>Coutmin</t>
  </si>
  <si>
    <t>Cout_Iripple</t>
  </si>
  <si>
    <t>_Cff</t>
  </si>
  <si>
    <t>__Cff</t>
  </si>
  <si>
    <t>Cdcr</t>
  </si>
  <si>
    <t>Rdcr</t>
  </si>
  <si>
    <t>RdcrCdcr</t>
  </si>
  <si>
    <t>VA</t>
  </si>
  <si>
    <t>_Rdcr</t>
  </si>
  <si>
    <t>__Rdcr</t>
  </si>
  <si>
    <t>_Cac</t>
  </si>
  <si>
    <t>__Cac</t>
  </si>
  <si>
    <t>Voripplemin_Cout</t>
  </si>
  <si>
    <t>Voripplemax_Cout</t>
  </si>
  <si>
    <t>Voripplemin_RESR</t>
  </si>
  <si>
    <t>Voripplemax_RESR</t>
  </si>
  <si>
    <t>Voripplemin</t>
  </si>
  <si>
    <t>Voripplemax</t>
  </si>
  <si>
    <t>Qg</t>
  </si>
  <si>
    <t>Fsmax</t>
  </si>
  <si>
    <t>Icc</t>
  </si>
  <si>
    <t>CHECK2</t>
  </si>
  <si>
    <t>Pdic</t>
  </si>
  <si>
    <t>TempR_MSOP8</t>
  </si>
  <si>
    <t>TempR_MSOP8EP</t>
  </si>
  <si>
    <t>TempR_LLP8</t>
  </si>
  <si>
    <t>Vf</t>
  </si>
  <si>
    <t>Ndmax</t>
  </si>
  <si>
    <t>D_Irms</t>
  </si>
  <si>
    <t>Pd_diode</t>
  </si>
  <si>
    <t>Ripple Setting Resistor</t>
  </si>
  <si>
    <t>NA</t>
  </si>
  <si>
    <t>Plossnom_Rsen</t>
  </si>
  <si>
    <r>
      <t>R</t>
    </r>
    <r>
      <rPr>
        <sz val="8"/>
        <rFont val="Arial"/>
        <family val="2"/>
      </rPr>
      <t>FB2</t>
    </r>
    <r>
      <rPr>
        <sz val="10"/>
        <rFont val="Arial"/>
        <family val="2"/>
      </rPr>
      <t>/R</t>
    </r>
    <r>
      <rPr>
        <sz val="8"/>
        <rFont val="Arial"/>
        <family val="2"/>
      </rPr>
      <t>FB1</t>
    </r>
    <r>
      <rPr>
        <sz val="10"/>
        <rFont val="Arial"/>
        <family val="2"/>
      </rPr>
      <t>=</t>
    </r>
  </si>
  <si>
    <r>
      <t>User select R</t>
    </r>
    <r>
      <rPr>
        <sz val="8"/>
        <rFont val="Arial"/>
        <family val="2"/>
      </rPr>
      <t>FB2</t>
    </r>
    <r>
      <rPr>
        <sz val="10"/>
        <rFont val="Arial"/>
        <family val="2"/>
      </rPr>
      <t>, upper feedback resistor [kOhm]</t>
    </r>
  </si>
  <si>
    <r>
      <t>Recommended value for R</t>
    </r>
    <r>
      <rPr>
        <sz val="8"/>
        <rFont val="Arial"/>
        <family val="2"/>
      </rPr>
      <t>FB1</t>
    </r>
    <r>
      <rPr>
        <sz val="10"/>
        <rFont val="Arial"/>
        <family val="2"/>
      </rPr>
      <t>, lower feedback resistor [kOhm]</t>
    </r>
  </si>
  <si>
    <r>
      <t>User select R</t>
    </r>
    <r>
      <rPr>
        <sz val="8"/>
        <rFont val="Arial"/>
        <family val="2"/>
      </rPr>
      <t>FB1</t>
    </r>
    <r>
      <rPr>
        <sz val="10"/>
        <rFont val="Arial"/>
        <family val="2"/>
      </rPr>
      <t>, lower feedback resistor [kOhm]</t>
    </r>
  </si>
  <si>
    <r>
      <t>Recommended minimum value for R</t>
    </r>
    <r>
      <rPr>
        <sz val="8"/>
        <rFont val="Arial"/>
        <family val="2"/>
      </rPr>
      <t>ADJ</t>
    </r>
    <r>
      <rPr>
        <sz val="10"/>
        <rFont val="Arial"/>
        <family val="2"/>
      </rPr>
      <t xml:space="preserve"> [kOhm]</t>
    </r>
  </si>
  <si>
    <r>
      <t>User select the value for R</t>
    </r>
    <r>
      <rPr>
        <sz val="8"/>
        <rFont val="Arial"/>
        <family val="2"/>
      </rPr>
      <t>ADJ</t>
    </r>
    <r>
      <rPr>
        <sz val="10"/>
        <rFont val="Arial"/>
        <family val="2"/>
      </rPr>
      <t xml:space="preserve"> [kOhm]</t>
    </r>
  </si>
  <si>
    <r>
      <t>User Select the value for C</t>
    </r>
    <r>
      <rPr>
        <sz val="8"/>
        <rFont val="Arial"/>
        <family val="2"/>
      </rPr>
      <t>IN</t>
    </r>
    <r>
      <rPr>
        <sz val="10"/>
        <rFont val="Arial"/>
        <family val="2"/>
      </rPr>
      <t xml:space="preserve"> [μF]</t>
    </r>
  </si>
  <si>
    <r>
      <t>C</t>
    </r>
    <r>
      <rPr>
        <sz val="8"/>
        <rFont val="Arial"/>
        <family val="2"/>
      </rPr>
      <t>IN</t>
    </r>
    <r>
      <rPr>
        <sz val="10"/>
        <rFont val="Arial"/>
        <family val="2"/>
      </rPr>
      <t>(min), Minimum Required Input Capacitor [μF]</t>
    </r>
  </si>
  <si>
    <r>
      <t>Minimum Recommened Output Capacitor C</t>
    </r>
    <r>
      <rPr>
        <sz val="8"/>
        <rFont val="Arial"/>
        <family val="2"/>
      </rPr>
      <t>OUT</t>
    </r>
    <r>
      <rPr>
        <sz val="10"/>
        <rFont val="Arial"/>
        <family val="2"/>
      </rPr>
      <t xml:space="preserve"> [uF]</t>
    </r>
  </si>
  <si>
    <r>
      <t>User Select the value for C</t>
    </r>
    <r>
      <rPr>
        <sz val="8"/>
        <rFont val="Arial"/>
        <family val="2"/>
      </rPr>
      <t>OUT</t>
    </r>
    <r>
      <rPr>
        <sz val="10"/>
        <rFont val="Arial"/>
        <family val="2"/>
      </rPr>
      <t xml:space="preserve"> [uF]</t>
    </r>
  </si>
  <si>
    <r>
      <t>R</t>
    </r>
    <r>
      <rPr>
        <b/>
        <sz val="8"/>
        <rFont val="Arial"/>
        <family val="2"/>
      </rPr>
      <t>FB1</t>
    </r>
  </si>
  <si>
    <r>
      <t>R</t>
    </r>
    <r>
      <rPr>
        <b/>
        <sz val="8"/>
        <rFont val="Arial"/>
        <family val="2"/>
      </rPr>
      <t>FB2</t>
    </r>
  </si>
  <si>
    <r>
      <t>R</t>
    </r>
    <r>
      <rPr>
        <b/>
        <sz val="8"/>
        <rFont val="Arial"/>
        <family val="2"/>
      </rPr>
      <t>T</t>
    </r>
  </si>
  <si>
    <r>
      <t>R</t>
    </r>
    <r>
      <rPr>
        <b/>
        <sz val="8"/>
        <rFont val="Arial"/>
        <family val="2"/>
      </rPr>
      <t>ADJ</t>
    </r>
  </si>
  <si>
    <r>
      <t>C</t>
    </r>
    <r>
      <rPr>
        <b/>
        <sz val="8"/>
        <rFont val="Arial"/>
        <family val="2"/>
      </rPr>
      <t>IN</t>
    </r>
  </si>
  <si>
    <r>
      <t>C</t>
    </r>
    <r>
      <rPr>
        <b/>
        <sz val="8"/>
        <rFont val="Arial"/>
        <family val="2"/>
      </rPr>
      <t>OUT</t>
    </r>
  </si>
  <si>
    <r>
      <t>C</t>
    </r>
    <r>
      <rPr>
        <b/>
        <sz val="8"/>
        <rFont val="Arial"/>
        <family val="2"/>
      </rPr>
      <t>VCC</t>
    </r>
  </si>
  <si>
    <r>
      <t>C</t>
    </r>
    <r>
      <rPr>
        <b/>
        <sz val="8"/>
        <rFont val="Arial"/>
        <family val="2"/>
      </rPr>
      <t>BYP</t>
    </r>
  </si>
  <si>
    <r>
      <t>C</t>
    </r>
    <r>
      <rPr>
        <b/>
        <sz val="8"/>
        <rFont val="Arial"/>
        <family val="2"/>
      </rPr>
      <t>ADJ</t>
    </r>
  </si>
  <si>
    <t>Maximum allowed frequency [kHz]</t>
  </si>
  <si>
    <t>Maximum Allowable Input Ripple [Vp-p]</t>
  </si>
  <si>
    <t>MaxCout</t>
  </si>
  <si>
    <r>
      <t>Calculated value for R</t>
    </r>
    <r>
      <rPr>
        <sz val="8"/>
        <rFont val="Arial"/>
        <family val="2"/>
      </rPr>
      <t>T</t>
    </r>
    <r>
      <rPr>
        <sz val="10"/>
        <rFont val="Arial"/>
        <family val="2"/>
      </rPr>
      <t xml:space="preserve"> [kOhm]</t>
    </r>
  </si>
  <si>
    <t>Minimum recommended value for L1 [μH]</t>
  </si>
  <si>
    <t>RCripple</t>
  </si>
  <si>
    <t>Coutmin_Reso</t>
  </si>
  <si>
    <t>Td(off) - Td(on), Difference of PFET On/Off delays [nSec]</t>
  </si>
  <si>
    <t>MaxRsen</t>
  </si>
  <si>
    <t>MinRsen</t>
  </si>
  <si>
    <t>Lowest Cost Configuration</t>
  </si>
  <si>
    <t>Reduced Ripple Configuration</t>
  </si>
  <si>
    <t>Minimum Ripple Configuration</t>
  </si>
  <si>
    <t xml:space="preserve">&lt;Ripple Configuration Type1&gt; </t>
  </si>
  <si>
    <t xml:space="preserve">&lt;Ripple Configuration Type2&gt; </t>
  </si>
  <si>
    <t>&lt;Ripple Configuration Type3&gt;</t>
  </si>
  <si>
    <t>LM25085A COT PFET Buck Switching Controller Quick Start</t>
  </si>
  <si>
    <r>
      <t>&lt;Current Limit Type2&gt; Sense the voltage across Q1's R</t>
    </r>
    <r>
      <rPr>
        <b/>
        <vertAlign val="subscript"/>
        <sz val="10"/>
        <color indexed="12"/>
        <rFont val="Arial"/>
        <family val="2"/>
      </rPr>
      <t>DS(ON)</t>
    </r>
  </si>
  <si>
    <t>&lt;Current Limit Type1&gt; Sense the voltage across Rsen</t>
  </si>
  <si>
    <t>1/16 W</t>
  </si>
  <si>
    <t>Max ripple at Vinmax</t>
  </si>
  <si>
    <r>
      <t>Maximum RMS Ripple Current in C</t>
    </r>
    <r>
      <rPr>
        <sz val="8"/>
        <rFont val="Arial"/>
        <family val="2"/>
      </rPr>
      <t>IN</t>
    </r>
    <r>
      <rPr>
        <sz val="10"/>
        <rFont val="Arial"/>
        <family val="2"/>
      </rPr>
      <t xml:space="preserve"> [Ap-p]</t>
    </r>
  </si>
  <si>
    <t>Bypass Capacitor at Vin</t>
  </si>
  <si>
    <t>Revision date:  May 29, 2009  - Ver. 1.1</t>
  </si>
  <si>
    <t>MBRB2535</t>
  </si>
  <si>
    <t>NA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</si>
</sst>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000"/>
    <numFmt numFmtId="186" formatCode="0.0"/>
    <numFmt numFmtId="187" formatCode="0.0&quot;uH&quot;"/>
    <numFmt numFmtId="188" formatCode="#.##&quot;kOhm&quot;"/>
    <numFmt numFmtId="189" formatCode="#&quot;mOhm&quot;"/>
    <numFmt numFmtId="190" formatCode="#.#&quot;uF&quot;"/>
    <numFmt numFmtId="191" formatCode="#.##&quot;uF&quot;"/>
    <numFmt numFmtId="192" formatCode="0.##&quot;uF&quot;"/>
    <numFmt numFmtId="193" formatCode="#.0#&quot;kOhm&quot;"/>
    <numFmt numFmtId="194" formatCode="#.0&quot;uF&quot;"/>
    <numFmt numFmtId="195" formatCode="0.0&quot;uF&quot;"/>
    <numFmt numFmtId="196" formatCode="####&quot;pF&quot;"/>
    <numFmt numFmtId="197" formatCode="0.0###&quot;uF&quot;"/>
    <numFmt numFmtId="198" formatCode="0.0&quot;W&quot;"/>
    <numFmt numFmtId="199" formatCode="0.00&quot;W&quot;"/>
    <numFmt numFmtId="200" formatCode="0&quot;V&quot;"/>
    <numFmt numFmtId="201" formatCode="0.00&quot;mW&quot;"/>
    <numFmt numFmtId="202" formatCode="#&quot;A&quot;"/>
    <numFmt numFmtId="203" formatCode="#.#&quot;A&quot;"/>
  </numFmts>
  <fonts count="51">
    <font>
      <sz val="10"/>
      <name val="Arial"/>
      <family val="2"/>
    </font>
    <font>
      <b/>
      <sz val="14"/>
      <name val="Arial"/>
      <family val="2"/>
    </font>
    <font>
      <sz val="8"/>
      <color indexed="22"/>
      <name val="Arial"/>
      <family val="2"/>
    </font>
    <font>
      <sz val="10"/>
      <color indexed="22"/>
      <name val="Arial"/>
      <family val="2"/>
    </font>
    <font>
      <sz val="10"/>
      <color indexed="10"/>
      <name val="Arial"/>
      <family val="2"/>
    </font>
    <font>
      <b/>
      <sz val="10"/>
      <name val="Arial"/>
      <family val="2"/>
    </font>
    <font>
      <b/>
      <sz val="12"/>
      <name val="Arial"/>
      <family val="2"/>
    </font>
    <font>
      <sz val="10"/>
      <color indexed="9"/>
      <name val="Arial"/>
      <family val="2"/>
    </font>
    <font>
      <b/>
      <sz val="10"/>
      <color indexed="12"/>
      <name val="Arial"/>
      <family val="2"/>
    </font>
    <font>
      <sz val="10"/>
      <color indexed="12"/>
      <name val="Arial"/>
      <family val="2"/>
    </font>
    <font>
      <sz val="10"/>
      <color indexed="17"/>
      <name val="Arial"/>
      <family val="2"/>
    </font>
    <font>
      <sz val="10"/>
      <color indexed="14"/>
      <name val="Arial"/>
      <family val="2"/>
    </font>
    <font>
      <sz val="8"/>
      <name val="Arial"/>
      <family val="2"/>
    </font>
    <font>
      <b/>
      <sz val="8"/>
      <name val="Arial"/>
      <family val="2"/>
    </font>
    <font>
      <sz val="10"/>
      <name val="Tahoma"/>
      <family val="2"/>
    </font>
    <font>
      <b/>
      <vertAlign val="subscript"/>
      <sz val="10"/>
      <color indexed="12"/>
      <name val="Arial"/>
      <family val="2"/>
    </font>
    <font>
      <b/>
      <sz val="8"/>
      <name val="Tahoma"/>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color indexed="63"/>
      </right>
      <top style="thin">
        <color indexed="9"/>
      </top>
      <bottom style="thin">
        <color indexed="9"/>
      </bottom>
    </border>
    <border>
      <left style="thin"/>
      <right style="thin"/>
      <top style="double"/>
      <bottom style="double"/>
    </border>
    <border>
      <left style="thin"/>
      <right style="thin"/>
      <top>
        <color indexed="63"/>
      </top>
      <bottom style="thin"/>
    </border>
    <border>
      <left style="thin"/>
      <right style="thin"/>
      <top style="thin"/>
      <bottom style="double"/>
    </border>
    <border>
      <left style="thin">
        <color indexed="9"/>
      </left>
      <right style="thin">
        <color indexed="9"/>
      </right>
      <top style="thin">
        <color indexed="9"/>
      </top>
      <bottom style="thin"/>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medium"/>
      <bottom style="thin"/>
    </border>
    <border>
      <left style="thin"/>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31" borderId="1" applyNumberFormat="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7">
    <xf numFmtId="0" fontId="0" fillId="0" borderId="0" xfId="0" applyAlignment="1">
      <alignment/>
    </xf>
    <xf numFmtId="0" fontId="1" fillId="33" borderId="10" xfId="0" applyFont="1" applyFill="1" applyBorder="1" applyAlignment="1">
      <alignment/>
    </xf>
    <xf numFmtId="0" fontId="0" fillId="0" borderId="10" xfId="0" applyBorder="1" applyAlignment="1">
      <alignment/>
    </xf>
    <xf numFmtId="0" fontId="2" fillId="0" borderId="10" xfId="0" applyFont="1" applyBorder="1" applyAlignment="1" applyProtection="1">
      <alignment/>
      <protection/>
    </xf>
    <xf numFmtId="0" fontId="5" fillId="0" borderId="10" xfId="33" applyFont="1" applyBorder="1" applyProtection="1">
      <alignment/>
      <protection/>
    </xf>
    <xf numFmtId="0" fontId="0" fillId="0" borderId="10" xfId="33" applyFont="1" applyBorder="1" applyAlignment="1" applyProtection="1">
      <alignment horizontal="right"/>
      <protection/>
    </xf>
    <xf numFmtId="0" fontId="0" fillId="0" borderId="11" xfId="0" applyBorder="1" applyAlignment="1">
      <alignment/>
    </xf>
    <xf numFmtId="0" fontId="0" fillId="0" borderId="10" xfId="0" applyFont="1" applyBorder="1" applyAlignment="1" applyProtection="1">
      <alignment horizontal="right"/>
      <protection/>
    </xf>
    <xf numFmtId="0" fontId="0" fillId="0" borderId="10" xfId="0" applyBorder="1" applyAlignment="1">
      <alignment horizontal="right"/>
    </xf>
    <xf numFmtId="0" fontId="0" fillId="0" borderId="10" xfId="0" applyFont="1" applyFill="1" applyBorder="1" applyAlignment="1" applyProtection="1">
      <alignment horizontal="right"/>
      <protection/>
    </xf>
    <xf numFmtId="0" fontId="0" fillId="0" borderId="12" xfId="0" applyBorder="1" applyAlignment="1">
      <alignment/>
    </xf>
    <xf numFmtId="0" fontId="0" fillId="0" borderId="13" xfId="0" applyBorder="1" applyAlignment="1">
      <alignment/>
    </xf>
    <xf numFmtId="0" fontId="0" fillId="34" borderId="14" xfId="0" applyFill="1" applyBorder="1" applyAlignment="1">
      <alignment horizontal="left"/>
    </xf>
    <xf numFmtId="0" fontId="0" fillId="0" borderId="15" xfId="0" applyBorder="1" applyAlignment="1">
      <alignment/>
    </xf>
    <xf numFmtId="0" fontId="0" fillId="0" borderId="14" xfId="0"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5" fillId="0" borderId="18" xfId="0" applyFont="1" applyBorder="1" applyAlignment="1">
      <alignment/>
    </xf>
    <xf numFmtId="0" fontId="5" fillId="0" borderId="16" xfId="0" applyFont="1" applyBorder="1" applyAlignment="1">
      <alignment horizontal="right"/>
    </xf>
    <xf numFmtId="0" fontId="5" fillId="0" borderId="17" xfId="0" applyFont="1" applyBorder="1" applyAlignment="1">
      <alignment horizontal="right"/>
    </xf>
    <xf numFmtId="0" fontId="5" fillId="0" borderId="14" xfId="0" applyFont="1" applyBorder="1" applyAlignment="1">
      <alignment horizontal="right"/>
    </xf>
    <xf numFmtId="0" fontId="5" fillId="0" borderId="18" xfId="0" applyFont="1" applyBorder="1" applyAlignment="1">
      <alignment horizontal="right"/>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5" fillId="0" borderId="18" xfId="0" applyFont="1" applyBorder="1" applyAlignment="1">
      <alignment horizontal="center"/>
    </xf>
    <xf numFmtId="0" fontId="0" fillId="0" borderId="10"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7" fillId="0" borderId="10" xfId="0" applyFont="1" applyBorder="1" applyAlignment="1">
      <alignment/>
    </xf>
    <xf numFmtId="0" fontId="8" fillId="0" borderId="10" xfId="0" applyFont="1" applyBorder="1" applyAlignment="1">
      <alignment/>
    </xf>
    <xf numFmtId="0" fontId="0" fillId="0" borderId="21" xfId="0" applyBorder="1" applyAlignment="1">
      <alignment horizontal="left"/>
    </xf>
    <xf numFmtId="0" fontId="4" fillId="0" borderId="10" xfId="0" applyFont="1" applyBorder="1" applyAlignment="1">
      <alignment/>
    </xf>
    <xf numFmtId="0" fontId="0" fillId="0" borderId="13" xfId="0" applyBorder="1" applyAlignment="1">
      <alignment horizontal="left"/>
    </xf>
    <xf numFmtId="0" fontId="0" fillId="0" borderId="10" xfId="0" applyFont="1" applyBorder="1" applyAlignment="1">
      <alignment horizontal="right"/>
    </xf>
    <xf numFmtId="0" fontId="0" fillId="0" borderId="20" xfId="0" applyFont="1" applyFill="1" applyBorder="1" applyAlignment="1">
      <alignment horizontal="right" vertical="center"/>
    </xf>
    <xf numFmtId="0" fontId="4" fillId="0" borderId="10" xfId="0" applyFont="1" applyBorder="1" applyAlignment="1">
      <alignment/>
    </xf>
    <xf numFmtId="11" fontId="0" fillId="0" borderId="10" xfId="0" applyNumberFormat="1" applyBorder="1" applyAlignment="1">
      <alignment/>
    </xf>
    <xf numFmtId="0" fontId="9" fillId="0" borderId="10" xfId="0" applyFont="1" applyBorder="1" applyAlignment="1">
      <alignment/>
    </xf>
    <xf numFmtId="0" fontId="10" fillId="0" borderId="10" xfId="0" applyFont="1" applyBorder="1" applyAlignment="1">
      <alignment/>
    </xf>
    <xf numFmtId="11" fontId="10" fillId="0" borderId="10" xfId="0" applyNumberFormat="1" applyFont="1" applyBorder="1" applyAlignment="1">
      <alignment/>
    </xf>
    <xf numFmtId="0" fontId="7" fillId="0" borderId="15" xfId="0" applyFont="1" applyBorder="1" applyAlignment="1">
      <alignment/>
    </xf>
    <xf numFmtId="0" fontId="7" fillId="0" borderId="11" xfId="0" applyFont="1" applyBorder="1" applyAlignment="1">
      <alignment/>
    </xf>
    <xf numFmtId="0" fontId="0" fillId="0" borderId="10" xfId="0" applyFont="1" applyBorder="1" applyAlignment="1">
      <alignment horizontal="right"/>
    </xf>
    <xf numFmtId="11" fontId="4" fillId="0" borderId="10" xfId="0" applyNumberFormat="1" applyFont="1" applyBorder="1" applyAlignment="1">
      <alignment/>
    </xf>
    <xf numFmtId="11" fontId="9" fillId="0" borderId="10" xfId="0" applyNumberFormat="1" applyFont="1" applyBorder="1" applyAlignment="1">
      <alignment/>
    </xf>
    <xf numFmtId="0" fontId="0" fillId="0" borderId="10" xfId="0" applyFont="1" applyBorder="1" applyAlignment="1">
      <alignment/>
    </xf>
    <xf numFmtId="0" fontId="11" fillId="0" borderId="10" xfId="0" applyFont="1" applyBorder="1" applyAlignment="1">
      <alignment/>
    </xf>
    <xf numFmtId="187" fontId="0" fillId="0" borderId="16" xfId="0" applyNumberFormat="1" applyBorder="1" applyAlignment="1">
      <alignment horizontal="center"/>
    </xf>
    <xf numFmtId="188" fontId="0" fillId="0" borderId="17" xfId="0" applyNumberFormat="1" applyBorder="1" applyAlignment="1">
      <alignment horizontal="center"/>
    </xf>
    <xf numFmtId="188" fontId="0" fillId="0" borderId="18" xfId="0" applyNumberFormat="1" applyBorder="1" applyAlignment="1">
      <alignment horizontal="center"/>
    </xf>
    <xf numFmtId="190" fontId="0" fillId="0" borderId="14" xfId="0" applyNumberFormat="1" applyBorder="1" applyAlignment="1">
      <alignment horizontal="center"/>
    </xf>
    <xf numFmtId="192" fontId="0" fillId="0" borderId="14" xfId="0" applyNumberFormat="1" applyBorder="1" applyAlignment="1">
      <alignment horizontal="center"/>
    </xf>
    <xf numFmtId="194" fontId="0" fillId="0" borderId="17" xfId="0" applyNumberFormat="1" applyBorder="1" applyAlignment="1">
      <alignment horizontal="center"/>
    </xf>
    <xf numFmtId="195" fontId="0" fillId="0" borderId="14" xfId="0" applyNumberFormat="1" applyBorder="1" applyAlignment="1">
      <alignment horizontal="center"/>
    </xf>
    <xf numFmtId="196" fontId="0" fillId="0" borderId="14" xfId="0" applyNumberFormat="1" applyBorder="1" applyAlignment="1">
      <alignment horizontal="center"/>
    </xf>
    <xf numFmtId="197" fontId="0" fillId="0" borderId="14" xfId="0" applyNumberFormat="1" applyBorder="1" applyAlignment="1">
      <alignment horizontal="center"/>
    </xf>
    <xf numFmtId="199" fontId="0" fillId="0" borderId="18" xfId="0" applyNumberFormat="1" applyBorder="1" applyAlignment="1">
      <alignment horizontal="center"/>
    </xf>
    <xf numFmtId="200" fontId="0" fillId="0" borderId="17" xfId="0" applyNumberFormat="1" applyBorder="1" applyAlignment="1">
      <alignment horizontal="center"/>
    </xf>
    <xf numFmtId="200" fontId="0" fillId="0" borderId="14" xfId="0" applyNumberFormat="1" applyBorder="1" applyAlignment="1">
      <alignment horizontal="center"/>
    </xf>
    <xf numFmtId="0" fontId="7" fillId="0" borderId="10" xfId="33" applyFont="1" applyFill="1" applyBorder="1" applyAlignment="1">
      <alignment/>
      <protection/>
    </xf>
    <xf numFmtId="184" fontId="7" fillId="0" borderId="10" xfId="33" applyNumberFormat="1" applyFont="1" applyFill="1" applyBorder="1" applyAlignment="1">
      <alignment/>
      <protection/>
    </xf>
    <xf numFmtId="2" fontId="4" fillId="0" borderId="10" xfId="0" applyNumberFormat="1" applyFont="1" applyBorder="1" applyAlignment="1">
      <alignment/>
    </xf>
    <xf numFmtId="0" fontId="3" fillId="0" borderId="10" xfId="0" applyFont="1" applyBorder="1" applyAlignment="1">
      <alignment horizontal="center"/>
    </xf>
    <xf numFmtId="0" fontId="6" fillId="0" borderId="20" xfId="0" applyFont="1" applyBorder="1" applyAlignment="1">
      <alignment/>
    </xf>
    <xf numFmtId="0" fontId="0" fillId="0" borderId="20" xfId="0" applyBorder="1" applyAlignment="1">
      <alignment/>
    </xf>
    <xf numFmtId="0" fontId="0" fillId="0" borderId="22" xfId="0" applyBorder="1" applyAlignment="1">
      <alignment/>
    </xf>
    <xf numFmtId="0" fontId="0" fillId="0" borderId="21" xfId="0" applyBorder="1" applyAlignment="1">
      <alignment/>
    </xf>
    <xf numFmtId="0" fontId="0" fillId="35" borderId="23" xfId="0" applyFill="1" applyBorder="1" applyAlignment="1">
      <alignment/>
    </xf>
    <xf numFmtId="0" fontId="0" fillId="35" borderId="13" xfId="0" applyFill="1" applyBorder="1" applyAlignment="1">
      <alignment/>
    </xf>
    <xf numFmtId="0" fontId="0" fillId="35" borderId="0" xfId="0" applyFill="1" applyBorder="1" applyAlignment="1">
      <alignment/>
    </xf>
    <xf numFmtId="0" fontId="8" fillId="35" borderId="0" xfId="0" applyFont="1" applyFill="1" applyBorder="1" applyAlignment="1">
      <alignment horizontal="center"/>
    </xf>
    <xf numFmtId="0" fontId="0" fillId="0" borderId="24" xfId="0" applyBorder="1" applyAlignment="1">
      <alignment/>
    </xf>
    <xf numFmtId="0" fontId="8" fillId="35" borderId="0" xfId="0" applyFont="1" applyFill="1" applyBorder="1" applyAlignment="1">
      <alignment/>
    </xf>
    <xf numFmtId="0" fontId="0" fillId="0" borderId="25" xfId="0" applyBorder="1" applyAlignment="1">
      <alignment/>
    </xf>
    <xf numFmtId="0" fontId="0" fillId="35" borderId="0" xfId="0" applyFill="1" applyBorder="1" applyAlignment="1">
      <alignment horizontal="left"/>
    </xf>
    <xf numFmtId="200" fontId="0" fillId="0" borderId="16" xfId="0" applyNumberFormat="1" applyBorder="1" applyAlignment="1">
      <alignment horizontal="center"/>
    </xf>
    <xf numFmtId="186" fontId="0" fillId="33" borderId="17" xfId="0" applyNumberFormat="1" applyFill="1" applyBorder="1" applyAlignment="1">
      <alignment horizontal="center"/>
    </xf>
    <xf numFmtId="203" fontId="0" fillId="33" borderId="17" xfId="0" applyNumberFormat="1" applyFill="1" applyBorder="1" applyAlignment="1">
      <alignment horizontal="center"/>
    </xf>
    <xf numFmtId="0" fontId="0" fillId="0" borderId="26" xfId="0" applyBorder="1" applyAlignment="1">
      <alignment horizontal="center"/>
    </xf>
    <xf numFmtId="0" fontId="0" fillId="34" borderId="27" xfId="0" applyFill="1" applyBorder="1" applyAlignment="1" applyProtection="1">
      <alignment horizontal="center"/>
      <protection locked="0"/>
    </xf>
    <xf numFmtId="0" fontId="0" fillId="0" borderId="28" xfId="0" applyBorder="1" applyAlignment="1">
      <alignment horizontal="center"/>
    </xf>
    <xf numFmtId="185" fontId="0" fillId="0" borderId="17" xfId="0" applyNumberFormat="1" applyBorder="1" applyAlignment="1">
      <alignment horizontal="center"/>
    </xf>
    <xf numFmtId="1" fontId="0" fillId="0" borderId="14" xfId="0" applyNumberFormat="1" applyBorder="1" applyAlignment="1">
      <alignment horizontal="center"/>
    </xf>
    <xf numFmtId="2" fontId="0" fillId="0" borderId="17" xfId="0" applyNumberFormat="1" applyBorder="1" applyAlignment="1">
      <alignment horizontal="center"/>
    </xf>
    <xf numFmtId="2" fontId="0" fillId="0" borderId="14" xfId="0" applyNumberFormat="1" applyBorder="1" applyAlignment="1">
      <alignment horizontal="center"/>
    </xf>
    <xf numFmtId="186" fontId="0" fillId="0" borderId="26" xfId="0" applyNumberFormat="1" applyBorder="1" applyAlignment="1">
      <alignment horizontal="center"/>
    </xf>
    <xf numFmtId="186" fontId="0" fillId="34" borderId="27" xfId="0" applyNumberFormat="1" applyFill="1" applyBorder="1" applyAlignment="1" applyProtection="1">
      <alignment horizontal="center"/>
      <protection locked="0"/>
    </xf>
    <xf numFmtId="186" fontId="0" fillId="0" borderId="17" xfId="0" applyNumberFormat="1" applyBorder="1" applyAlignment="1">
      <alignment horizontal="center"/>
    </xf>
    <xf numFmtId="2" fontId="0" fillId="34" borderId="27" xfId="0" applyNumberFormat="1" applyFill="1" applyBorder="1" applyAlignment="1" applyProtection="1">
      <alignment horizontal="center"/>
      <protection locked="0"/>
    </xf>
    <xf numFmtId="1" fontId="0" fillId="0" borderId="26" xfId="0" applyNumberFormat="1" applyBorder="1" applyAlignment="1">
      <alignment horizontal="center"/>
    </xf>
    <xf numFmtId="1" fontId="0" fillId="34" borderId="27" xfId="0" applyNumberFormat="1" applyFill="1" applyBorder="1" applyAlignment="1" applyProtection="1">
      <alignment horizontal="center"/>
      <protection locked="0"/>
    </xf>
    <xf numFmtId="1" fontId="0" fillId="33" borderId="26" xfId="0" applyNumberFormat="1" applyFill="1" applyBorder="1" applyAlignment="1">
      <alignment horizontal="center"/>
    </xf>
    <xf numFmtId="1" fontId="0" fillId="0" borderId="28" xfId="0" applyNumberFormat="1" applyBorder="1" applyAlignment="1">
      <alignment horizontal="center"/>
    </xf>
    <xf numFmtId="0" fontId="0" fillId="0" borderId="13" xfId="0" applyBorder="1" applyAlignment="1">
      <alignment horizontal="center"/>
    </xf>
    <xf numFmtId="1" fontId="0" fillId="0" borderId="17" xfId="0" applyNumberFormat="1" applyBorder="1" applyAlignment="1">
      <alignment horizontal="center"/>
    </xf>
    <xf numFmtId="0" fontId="0" fillId="36" borderId="27" xfId="0" applyFill="1" applyBorder="1" applyAlignment="1" applyProtection="1">
      <alignment horizontal="center"/>
      <protection locked="0"/>
    </xf>
    <xf numFmtId="0" fontId="0" fillId="36" borderId="27" xfId="0" applyFont="1" applyFill="1" applyBorder="1" applyAlignment="1" applyProtection="1">
      <alignment horizontal="center"/>
      <protection locked="0"/>
    </xf>
    <xf numFmtId="2" fontId="0" fillId="0" borderId="29" xfId="0" applyNumberFormat="1" applyBorder="1" applyAlignment="1">
      <alignment horizontal="center"/>
    </xf>
    <xf numFmtId="0" fontId="0" fillId="34" borderId="26" xfId="0" applyFill="1" applyBorder="1" applyAlignment="1">
      <alignment horizontal="center"/>
    </xf>
    <xf numFmtId="0" fontId="0" fillId="0" borderId="29" xfId="0" applyBorder="1" applyAlignment="1">
      <alignment horizontal="center"/>
    </xf>
    <xf numFmtId="0" fontId="0" fillId="0" borderId="17" xfId="0" applyFill="1" applyBorder="1" applyAlignment="1">
      <alignment horizontal="center"/>
    </xf>
    <xf numFmtId="0" fontId="0" fillId="0" borderId="28" xfId="0" applyBorder="1" applyAlignment="1">
      <alignment horizontal="right" vertical="center"/>
    </xf>
    <xf numFmtId="189" fontId="0" fillId="0" borderId="17" xfId="0" applyNumberFormat="1" applyBorder="1" applyAlignment="1">
      <alignment horizontal="center"/>
    </xf>
    <xf numFmtId="201" fontId="0" fillId="0" borderId="17" xfId="0" applyNumberFormat="1" applyBorder="1" applyAlignment="1">
      <alignment horizontal="center"/>
    </xf>
    <xf numFmtId="0" fontId="0" fillId="0" borderId="18" xfId="0" applyBorder="1" applyAlignment="1">
      <alignment horizontal="center"/>
    </xf>
    <xf numFmtId="193" fontId="0" fillId="0" borderId="18" xfId="0" applyNumberFormat="1" applyBorder="1" applyAlignment="1">
      <alignment horizontal="center"/>
    </xf>
    <xf numFmtId="199" fontId="0" fillId="0" borderId="17" xfId="0" applyNumberFormat="1" applyBorder="1" applyAlignment="1">
      <alignment horizontal="center"/>
    </xf>
    <xf numFmtId="0" fontId="0" fillId="0" borderId="30" xfId="0" applyBorder="1" applyAlignment="1">
      <alignment horizontal="right"/>
    </xf>
    <xf numFmtId="0" fontId="5" fillId="0" borderId="30" xfId="0" applyFont="1" applyBorder="1" applyAlignment="1">
      <alignment horizontal="right"/>
    </xf>
    <xf numFmtId="188" fontId="0" fillId="0" borderId="30" xfId="0" applyNumberFormat="1" applyBorder="1" applyAlignment="1">
      <alignment horizontal="center"/>
    </xf>
    <xf numFmtId="0" fontId="0" fillId="0" borderId="30" xfId="0" applyBorder="1" applyAlignment="1">
      <alignment horizontal="center"/>
    </xf>
    <xf numFmtId="0" fontId="0" fillId="0" borderId="10" xfId="0" applyBorder="1" applyAlignment="1" applyProtection="1">
      <alignment horizontal="left"/>
      <protection locked="0"/>
    </xf>
    <xf numFmtId="0" fontId="4" fillId="0" borderId="11" xfId="0" applyFont="1" applyBorder="1" applyAlignment="1">
      <alignment vertical="center" wrapText="1"/>
    </xf>
    <xf numFmtId="0" fontId="0" fillId="0" borderId="15" xfId="0" applyBorder="1" applyAlignment="1">
      <alignment/>
    </xf>
    <xf numFmtId="0" fontId="0" fillId="0" borderId="12" xfId="0" applyBorder="1" applyAlignment="1">
      <alignment/>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_LM315x Design Guide Ver1.8"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s>
  <dxfs count="1">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 Id="rId3"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4</xdr:col>
      <xdr:colOff>609600</xdr:colOff>
      <xdr:row>8</xdr:row>
      <xdr:rowOff>38100</xdr:rowOff>
    </xdr:to>
    <xdr:sp>
      <xdr:nvSpPr>
        <xdr:cNvPr id="1" name="Text Box 1"/>
        <xdr:cNvSpPr txBox="1">
          <a:spLocks noChangeArrowheads="1"/>
        </xdr:cNvSpPr>
      </xdr:nvSpPr>
      <xdr:spPr>
        <a:xfrm>
          <a:off x="38100" y="409575"/>
          <a:ext cx="5229225" cy="1000125"/>
        </a:xfrm>
        <a:prstGeom prst="rect">
          <a:avLst/>
        </a:prstGeom>
        <a:solidFill>
          <a:srgbClr val="FFFFFF"/>
        </a:solidFill>
        <a:ln w="9525" cmpd="sng">
          <a:solidFill>
            <a:srgbClr val="FF0000"/>
          </a:solidFill>
          <a:headEnd type="none"/>
          <a:tailEnd type="none"/>
        </a:ln>
      </xdr:spPr>
      <xdr:txBody>
        <a:bodyPr vertOverflow="clip" wrap="square" lIns="36576" tIns="27432" rIns="0" bIns="0"/>
        <a:p>
          <a:pPr algn="l">
            <a:defRPr/>
          </a:pPr>
          <a:r>
            <a:rPr lang="en-US" cap="none" sz="1000" b="0" i="0" u="none" baseline="0">
              <a:solidFill>
                <a:srgbClr val="FF0000"/>
              </a:solidFill>
              <a:latin typeface="Arial"/>
              <a:ea typeface="Arial"/>
              <a:cs typeface="Arial"/>
            </a:rPr>
            <a:t>Note:  The components calculated in this worksheet are reasonable starting values for a design using the LM25085A They are not optimized for any particular performance attribute. The most recent version of this excel file can be found in the product folders of the parts at national.com
</a:t>
          </a:r>
          <a:r>
            <a:rPr lang="en-US" cap="none" sz="1000" b="0" i="0" u="none" baseline="0">
              <a:solidFill>
                <a:srgbClr val="FF0000"/>
              </a:solidFill>
              <a:latin typeface="Arial"/>
              <a:ea typeface="Arial"/>
              <a:cs typeface="Arial"/>
            </a:rPr>
            <a:t>Make sure to input or select values in all of the blue shaded cells even if a value already exists in that cell. Blue shaded cells require input from user.</a:t>
          </a:r>
        </a:p>
      </xdr:txBody>
    </xdr:sp>
    <xdr:clientData/>
  </xdr:twoCellAnchor>
  <xdr:twoCellAnchor editAs="oneCell">
    <xdr:from>
      <xdr:col>4</xdr:col>
      <xdr:colOff>0</xdr:colOff>
      <xdr:row>35</xdr:row>
      <xdr:rowOff>152400</xdr:rowOff>
    </xdr:from>
    <xdr:to>
      <xdr:col>5</xdr:col>
      <xdr:colOff>76200</xdr:colOff>
      <xdr:row>37</xdr:row>
      <xdr:rowOff>19050</xdr:rowOff>
    </xdr:to>
    <xdr:pic>
      <xdr:nvPicPr>
        <xdr:cNvPr id="2" name="ComboBox1"/>
        <xdr:cNvPicPr preferRelativeResize="1">
          <a:picLocks noChangeAspect="1"/>
        </xdr:cNvPicPr>
      </xdr:nvPicPr>
      <xdr:blipFill>
        <a:blip r:embed="rId1"/>
        <a:stretch>
          <a:fillRect/>
        </a:stretch>
      </xdr:blipFill>
      <xdr:spPr>
        <a:xfrm>
          <a:off x="4657725" y="6096000"/>
          <a:ext cx="781050" cy="200025"/>
        </a:xfrm>
        <a:prstGeom prst="rect">
          <a:avLst/>
        </a:prstGeom>
        <a:noFill/>
        <a:ln w="9525" cmpd="sng">
          <a:noFill/>
        </a:ln>
      </xdr:spPr>
    </xdr:pic>
    <xdr:clientData/>
  </xdr:twoCellAnchor>
  <xdr:twoCellAnchor editAs="oneCell">
    <xdr:from>
      <xdr:col>3</xdr:col>
      <xdr:colOff>209550</xdr:colOff>
      <xdr:row>50</xdr:row>
      <xdr:rowOff>142875</xdr:rowOff>
    </xdr:from>
    <xdr:to>
      <xdr:col>5</xdr:col>
      <xdr:colOff>38100</xdr:colOff>
      <xdr:row>52</xdr:row>
      <xdr:rowOff>28575</xdr:rowOff>
    </xdr:to>
    <xdr:pic>
      <xdr:nvPicPr>
        <xdr:cNvPr id="3" name="ComboBox2"/>
        <xdr:cNvPicPr preferRelativeResize="1">
          <a:picLocks noChangeAspect="1"/>
        </xdr:cNvPicPr>
      </xdr:nvPicPr>
      <xdr:blipFill>
        <a:blip r:embed="rId2"/>
        <a:stretch>
          <a:fillRect/>
        </a:stretch>
      </xdr:blipFill>
      <xdr:spPr>
        <a:xfrm>
          <a:off x="4648200" y="8601075"/>
          <a:ext cx="752475" cy="209550"/>
        </a:xfrm>
        <a:prstGeom prst="rect">
          <a:avLst/>
        </a:prstGeom>
        <a:noFill/>
        <a:ln w="9525" cmpd="sng">
          <a:noFill/>
        </a:ln>
      </xdr:spPr>
    </xdr:pic>
    <xdr:clientData/>
  </xdr:twoCellAnchor>
  <xdr:twoCellAnchor editAs="oneCell">
    <xdr:from>
      <xdr:col>2</xdr:col>
      <xdr:colOff>704850</xdr:colOff>
      <xdr:row>80</xdr:row>
      <xdr:rowOff>104775</xdr:rowOff>
    </xdr:from>
    <xdr:to>
      <xdr:col>5</xdr:col>
      <xdr:colOff>19050</xdr:colOff>
      <xdr:row>82</xdr:row>
      <xdr:rowOff>76200</xdr:rowOff>
    </xdr:to>
    <xdr:pic>
      <xdr:nvPicPr>
        <xdr:cNvPr id="4" name="CommandButton1"/>
        <xdr:cNvPicPr preferRelativeResize="1">
          <a:picLocks noChangeAspect="1"/>
        </xdr:cNvPicPr>
      </xdr:nvPicPr>
      <xdr:blipFill>
        <a:blip r:embed="rId3"/>
        <a:stretch>
          <a:fillRect/>
        </a:stretch>
      </xdr:blipFill>
      <xdr:spPr>
        <a:xfrm>
          <a:off x="4038600" y="13687425"/>
          <a:ext cx="13430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259"/>
  <sheetViews>
    <sheetView tabSelected="1" zoomScalePageLayoutView="0" workbookViewId="0" topLeftCell="A16">
      <selection activeCell="E14" sqref="E14"/>
    </sheetView>
  </sheetViews>
  <sheetFormatPr defaultColWidth="9.140625" defaultRowHeight="12.75"/>
  <cols>
    <col min="1" max="1" width="19.140625" style="2" customWidth="1"/>
    <col min="2" max="2" width="30.8515625" style="2" customWidth="1"/>
    <col min="3" max="3" width="16.57421875" style="2" customWidth="1"/>
    <col min="4" max="4" width="3.28125" style="2" customWidth="1"/>
    <col min="5" max="5" width="10.57421875" style="27" customWidth="1"/>
    <col min="6" max="6" width="3.28125" style="2" customWidth="1"/>
    <col min="7" max="7" width="29.57421875" style="2" customWidth="1"/>
    <col min="8" max="8" width="17.7109375" style="2" customWidth="1"/>
    <col min="9" max="9" width="10.7109375" style="2" customWidth="1"/>
    <col min="10" max="10" width="11.140625" style="2" customWidth="1"/>
    <col min="11" max="21" width="9.140625" style="2" customWidth="1"/>
    <col min="22" max="22" width="12.421875" style="2" bestFit="1" customWidth="1"/>
    <col min="23" max="23" width="10.28125" style="2" bestFit="1" customWidth="1"/>
    <col min="24" max="25" width="9.140625" style="2" customWidth="1"/>
    <col min="26" max="26" width="0" style="2" hidden="1" customWidth="1"/>
    <col min="27" max="27" width="17.7109375" style="2" hidden="1" customWidth="1"/>
    <col min="28" max="28" width="12.421875" style="2" hidden="1" customWidth="1"/>
    <col min="29" max="29" width="15.421875" style="2" hidden="1" customWidth="1"/>
    <col min="30" max="30" width="12.421875" style="2" hidden="1" customWidth="1"/>
    <col min="31" max="31" width="14.8515625" style="2" hidden="1" customWidth="1"/>
    <col min="32" max="32" width="12.421875" style="2" hidden="1" customWidth="1"/>
    <col min="33" max="33" width="0" style="2" hidden="1" customWidth="1"/>
    <col min="34" max="16384" width="9.140625" style="2" customWidth="1"/>
  </cols>
  <sheetData>
    <row r="1" ht="18">
      <c r="A1" s="1" t="s">
        <v>211</v>
      </c>
    </row>
    <row r="2" spans="1:2" ht="12.75">
      <c r="A2" s="3" t="s">
        <v>218</v>
      </c>
      <c r="B2" s="64"/>
    </row>
    <row r="3" ht="12.75"/>
    <row r="4" ht="12.75"/>
    <row r="5" ht="12.75"/>
    <row r="6" ht="12.75"/>
    <row r="7" spans="1:5" ht="13.5" customHeight="1">
      <c r="A7" s="114"/>
      <c r="B7" s="115"/>
      <c r="C7" s="115"/>
      <c r="D7" s="115"/>
      <c r="E7" s="116"/>
    </row>
    <row r="8" ht="12.75"/>
    <row r="9" ht="13.5" thickBot="1">
      <c r="E9" s="34"/>
    </row>
    <row r="10" spans="1:7" ht="13.5" thickBot="1">
      <c r="A10" s="4" t="s">
        <v>0</v>
      </c>
      <c r="C10" s="5" t="s">
        <v>1</v>
      </c>
      <c r="D10" s="6"/>
      <c r="E10" s="97">
        <v>24</v>
      </c>
      <c r="F10" s="10"/>
      <c r="G10" s="31" t="s">
        <v>213</v>
      </c>
    </row>
    <row r="11" spans="3:6" ht="13.5" thickBot="1">
      <c r="C11" s="5" t="s">
        <v>35</v>
      </c>
      <c r="D11" s="6"/>
      <c r="E11" s="98">
        <v>12</v>
      </c>
      <c r="F11" s="10"/>
    </row>
    <row r="12" spans="3:6" ht="13.5" thickBot="1">
      <c r="C12" s="5" t="s">
        <v>2</v>
      </c>
      <c r="D12" s="6"/>
      <c r="E12" s="98">
        <v>4.5</v>
      </c>
      <c r="F12" s="10"/>
    </row>
    <row r="13" spans="3:6" ht="13.5" thickBot="1">
      <c r="C13" s="8" t="s">
        <v>34</v>
      </c>
      <c r="D13" s="6"/>
      <c r="E13" s="97">
        <v>1</v>
      </c>
      <c r="F13" s="10"/>
    </row>
    <row r="14" spans="3:6" ht="13.5" thickBot="1">
      <c r="C14" s="5" t="s">
        <v>16</v>
      </c>
      <c r="D14" s="6"/>
      <c r="E14" s="97">
        <v>3</v>
      </c>
      <c r="F14" s="10"/>
    </row>
    <row r="15" spans="3:6" ht="13.5" thickBot="1">
      <c r="C15" s="5" t="s">
        <v>105</v>
      </c>
      <c r="D15" s="6"/>
      <c r="E15" s="97">
        <v>0.5</v>
      </c>
      <c r="F15" s="10"/>
    </row>
    <row r="16" spans="2:6" ht="12.75">
      <c r="B16" s="33"/>
      <c r="C16" s="35"/>
      <c r="D16" s="6"/>
      <c r="E16" s="76"/>
      <c r="F16" s="10"/>
    </row>
    <row r="17" spans="5:6" ht="12.75">
      <c r="E17" s="32"/>
      <c r="F17" s="10"/>
    </row>
    <row r="18" spans="1:5" ht="12.75">
      <c r="A18" s="4" t="s">
        <v>17</v>
      </c>
      <c r="E18" s="29"/>
    </row>
    <row r="19" spans="3:6" ht="13.5" thickBot="1">
      <c r="C19" s="8" t="s">
        <v>176</v>
      </c>
      <c r="D19" s="6"/>
      <c r="E19" s="80">
        <f>Rf2overRf1</f>
        <v>0.11111111111111108</v>
      </c>
      <c r="F19" s="10"/>
    </row>
    <row r="20" spans="3:6" ht="13.5" thickBot="1">
      <c r="C20" s="8" t="s">
        <v>177</v>
      </c>
      <c r="D20" s="6"/>
      <c r="E20" s="81">
        <v>1.1</v>
      </c>
      <c r="F20" s="10"/>
    </row>
    <row r="21" spans="3:6" ht="13.5" thickBot="1">
      <c r="C21" s="8" t="s">
        <v>178</v>
      </c>
      <c r="D21" s="6"/>
      <c r="E21" s="82">
        <f>__Rfb1/1000</f>
        <v>9.88</v>
      </c>
      <c r="F21" s="10"/>
    </row>
    <row r="22" spans="3:7" ht="16.5" thickBot="1">
      <c r="C22" s="8" t="s">
        <v>179</v>
      </c>
      <c r="D22" s="6"/>
      <c r="E22" s="81">
        <v>10</v>
      </c>
      <c r="F22" s="10"/>
      <c r="G22" s="31" t="s">
        <v>212</v>
      </c>
    </row>
    <row r="23" spans="3:5" ht="12.75">
      <c r="C23" s="8" t="s">
        <v>106</v>
      </c>
      <c r="D23" s="6"/>
      <c r="E23" s="83">
        <f>Evout</f>
        <v>0.999</v>
      </c>
    </row>
    <row r="24" ht="12.75"/>
    <row r="25" spans="1:5" ht="13.5" thickBot="1">
      <c r="A25" s="4" t="s">
        <v>36</v>
      </c>
      <c r="C25" s="44" t="s">
        <v>195</v>
      </c>
      <c r="D25" s="6"/>
      <c r="E25" s="91">
        <f>MIN(Vout/Vinmax/0.00000015/1000,1000)</f>
        <v>277.77777777777777</v>
      </c>
    </row>
    <row r="26" spans="3:6" ht="13.5" thickBot="1">
      <c r="C26" s="7" t="s">
        <v>107</v>
      </c>
      <c r="D26" s="6"/>
      <c r="E26" s="97">
        <v>200</v>
      </c>
      <c r="F26" s="10"/>
    </row>
    <row r="27" spans="3:6" ht="13.5" thickBot="1">
      <c r="C27" s="8" t="s">
        <v>108</v>
      </c>
      <c r="D27" s="6"/>
      <c r="E27" s="81" t="s">
        <v>76</v>
      </c>
      <c r="F27" s="10"/>
    </row>
    <row r="28" spans="3:6" ht="13.5" thickBot="1">
      <c r="C28" s="35" t="s">
        <v>202</v>
      </c>
      <c r="D28" s="6"/>
      <c r="E28" s="97">
        <v>50</v>
      </c>
      <c r="F28" s="10"/>
    </row>
    <row r="29" spans="3:6" ht="12.75">
      <c r="C29" s="8" t="s">
        <v>198</v>
      </c>
      <c r="D29" s="6"/>
      <c r="E29" s="99">
        <f>_Rt/1000</f>
        <v>21.400000000000002</v>
      </c>
      <c r="F29" s="10"/>
    </row>
    <row r="30" spans="1:5" ht="12.75">
      <c r="A30" s="37"/>
      <c r="E30" s="32"/>
    </row>
    <row r="31" spans="1:6" ht="12.75">
      <c r="A31" s="4" t="s">
        <v>18</v>
      </c>
      <c r="E31" s="29"/>
      <c r="F31" s="10"/>
    </row>
    <row r="32" spans="3:6" ht="13.5" thickBot="1">
      <c r="C32" s="5" t="s">
        <v>199</v>
      </c>
      <c r="D32" s="6"/>
      <c r="E32" s="87">
        <f>_LM*10^6</f>
        <v>9.503892035493168</v>
      </c>
      <c r="F32" s="10"/>
    </row>
    <row r="33" spans="3:6" ht="13.5" thickBot="1">
      <c r="C33" s="8" t="s">
        <v>109</v>
      </c>
      <c r="D33" s="6"/>
      <c r="E33" s="88">
        <v>6.8</v>
      </c>
      <c r="F33" s="10"/>
    </row>
    <row r="34" spans="3:12" ht="12.75">
      <c r="C34" s="5" t="s">
        <v>3</v>
      </c>
      <c r="D34" s="6"/>
      <c r="E34" s="89">
        <f>Ipeak_atVinmax</f>
        <v>3.4192893545070517</v>
      </c>
      <c r="F34" s="10"/>
      <c r="G34" s="11"/>
      <c r="H34" s="11"/>
      <c r="I34" s="11"/>
      <c r="J34" s="11"/>
      <c r="K34" s="11"/>
      <c r="L34" s="11"/>
    </row>
    <row r="35" spans="5:13" ht="12.75">
      <c r="E35" s="32"/>
      <c r="F35" s="6"/>
      <c r="G35" s="6"/>
      <c r="H35" s="71"/>
      <c r="I35" s="71"/>
      <c r="J35" s="71"/>
      <c r="K35" s="71"/>
      <c r="L35" s="71"/>
      <c r="M35" s="10"/>
    </row>
    <row r="36" spans="1:13" ht="12.75">
      <c r="A36" s="4" t="s">
        <v>19</v>
      </c>
      <c r="E36" s="29"/>
      <c r="F36" s="13"/>
      <c r="G36" s="74" t="s">
        <v>208</v>
      </c>
      <c r="H36" s="71"/>
      <c r="I36" s="72" t="s">
        <v>209</v>
      </c>
      <c r="J36" s="71"/>
      <c r="K36" s="71"/>
      <c r="L36" s="71"/>
      <c r="M36" s="10"/>
    </row>
    <row r="37" spans="3:13" ht="13.5" thickBot="1">
      <c r="C37" s="8" t="s">
        <v>110</v>
      </c>
      <c r="D37" s="6"/>
      <c r="E37" s="100">
        <v>2</v>
      </c>
      <c r="F37" s="42">
        <v>1</v>
      </c>
      <c r="G37" s="74" t="s">
        <v>205</v>
      </c>
      <c r="H37" s="71"/>
      <c r="I37" s="72" t="s">
        <v>206</v>
      </c>
      <c r="J37" s="71"/>
      <c r="K37" s="71"/>
      <c r="L37" s="71"/>
      <c r="M37" s="10"/>
    </row>
    <row r="38" spans="3:13" ht="13.5" thickBot="1">
      <c r="C38" s="8" t="str">
        <f>IF(CSType=1,"","Rdson of PFET [mOhm]")</f>
        <v>Rdson of PFET [mOhm]</v>
      </c>
      <c r="D38" s="6"/>
      <c r="E38" s="81">
        <v>7.7</v>
      </c>
      <c r="F38" s="42">
        <v>2</v>
      </c>
      <c r="H38" s="71"/>
      <c r="J38" s="71"/>
      <c r="K38" s="71"/>
      <c r="L38" s="71"/>
      <c r="M38" s="10"/>
    </row>
    <row r="39" spans="3:13" ht="13.5" thickBot="1">
      <c r="C39" s="8">
        <f>IF(CSType=1,"User select the value for RSEN, Current sensing resistor [mOhm]","")</f>
      </c>
      <c r="D39" s="6"/>
      <c r="E39" s="81" t="s">
        <v>174</v>
      </c>
      <c r="F39" s="13"/>
      <c r="G39" s="71"/>
      <c r="H39" s="71"/>
      <c r="I39" s="71"/>
      <c r="J39" s="71"/>
      <c r="K39" s="71"/>
      <c r="L39" s="71"/>
      <c r="M39" s="10"/>
    </row>
    <row r="40" spans="3:13" ht="12.75">
      <c r="C40" s="35">
        <f>IF(CSType=1,"Max power dissipation at Io(max) in the selected sense resistor [W]","")</f>
      </c>
      <c r="D40" s="6"/>
      <c r="E40" s="85" t="str">
        <f>IF(CSType=1,Plossnom_Rsen,"NA")</f>
        <v>NA</v>
      </c>
      <c r="F40" s="13"/>
      <c r="G40" s="71"/>
      <c r="H40" s="71"/>
      <c r="I40" s="71"/>
      <c r="J40" s="71"/>
      <c r="K40" s="71"/>
      <c r="L40" s="71"/>
      <c r="M40" s="10"/>
    </row>
    <row r="41" spans="3:13" ht="13.5" thickBot="1">
      <c r="C41" s="44" t="s">
        <v>180</v>
      </c>
      <c r="D41" s="6"/>
      <c r="E41" s="82">
        <f>__Radj_min/1000</f>
        <v>1.1</v>
      </c>
      <c r="F41" s="13"/>
      <c r="G41" s="71"/>
      <c r="H41" s="71"/>
      <c r="I41" s="71"/>
      <c r="J41" s="71"/>
      <c r="K41" s="71"/>
      <c r="L41" s="71"/>
      <c r="M41" s="10"/>
    </row>
    <row r="42" spans="3:13" ht="13.5" thickBot="1">
      <c r="C42" s="8" t="s">
        <v>181</v>
      </c>
      <c r="D42" s="6"/>
      <c r="E42" s="90">
        <v>2</v>
      </c>
      <c r="F42" s="13"/>
      <c r="G42" s="71"/>
      <c r="H42" s="71"/>
      <c r="I42" s="71"/>
      <c r="J42" s="71"/>
      <c r="K42" s="71"/>
      <c r="L42" s="71"/>
      <c r="M42" s="10"/>
    </row>
    <row r="43" spans="3:13" ht="12.75">
      <c r="C43" s="9" t="s">
        <v>37</v>
      </c>
      <c r="D43" s="6"/>
      <c r="E43" s="78">
        <f>Iclnom_atVinnom</f>
        <v>10.05164439198673</v>
      </c>
      <c r="F43" s="13"/>
      <c r="G43" s="71"/>
      <c r="H43" s="71"/>
      <c r="I43" s="71"/>
      <c r="J43" s="71"/>
      <c r="K43" s="71"/>
      <c r="L43" s="71"/>
      <c r="M43" s="10"/>
    </row>
    <row r="44" spans="1:13" ht="12.75">
      <c r="A44" s="37"/>
      <c r="C44" s="35">
        <f>IF(CSType=1,"Max power dissipation in the selected sense resistor at max current limit [W]","")</f>
      </c>
      <c r="D44" s="6"/>
      <c r="E44" s="86" t="str">
        <f>IF(CSType=1,Plossmax_Rsen,"NA")</f>
        <v>NA</v>
      </c>
      <c r="F44" s="13"/>
      <c r="G44" s="71"/>
      <c r="H44" s="71"/>
      <c r="I44" s="71"/>
      <c r="J44" s="71"/>
      <c r="K44" s="71"/>
      <c r="L44" s="71"/>
      <c r="M44" s="10"/>
    </row>
    <row r="45" spans="3:13" ht="13.5" thickBot="1">
      <c r="C45" s="8"/>
      <c r="E45" s="29"/>
      <c r="F45" s="6"/>
      <c r="G45" s="71"/>
      <c r="H45" s="71"/>
      <c r="I45" s="71"/>
      <c r="J45" s="71"/>
      <c r="K45" s="71"/>
      <c r="L45" s="71"/>
      <c r="M45" s="10"/>
    </row>
    <row r="46" spans="1:13" ht="13.5" thickBot="1">
      <c r="A46" s="4" t="s">
        <v>39</v>
      </c>
      <c r="C46" s="35" t="s">
        <v>196</v>
      </c>
      <c r="D46" s="6"/>
      <c r="E46" s="81">
        <v>0.5</v>
      </c>
      <c r="F46" s="42">
        <f>MIN(IF(Vinmin&lt;=5,0.5,3),Vinmin-4.2)</f>
        <v>0.2999999999999998</v>
      </c>
      <c r="G46" s="75"/>
      <c r="H46" s="71"/>
      <c r="I46" s="71"/>
      <c r="J46" s="71"/>
      <c r="K46" s="71"/>
      <c r="L46" s="71"/>
      <c r="M46" s="10"/>
    </row>
    <row r="47" spans="3:13" ht="13.5" thickBot="1">
      <c r="C47" s="8" t="s">
        <v>183</v>
      </c>
      <c r="D47" s="6"/>
      <c r="E47" s="94">
        <f>__Cinmin</f>
        <v>7.260918962590866</v>
      </c>
      <c r="F47" s="13"/>
      <c r="G47" s="73"/>
      <c r="H47" s="71"/>
      <c r="I47" s="71"/>
      <c r="J47" s="71"/>
      <c r="K47" s="71"/>
      <c r="L47" s="71"/>
      <c r="M47" s="10"/>
    </row>
    <row r="48" spans="3:13" ht="13.5" thickBot="1">
      <c r="C48" s="8" t="s">
        <v>182</v>
      </c>
      <c r="D48" s="6"/>
      <c r="E48" s="92">
        <v>30</v>
      </c>
      <c r="F48" s="42"/>
      <c r="G48" s="74" t="s">
        <v>210</v>
      </c>
      <c r="H48" s="71"/>
      <c r="I48" s="71"/>
      <c r="J48" s="71"/>
      <c r="K48" s="71"/>
      <c r="L48" s="71"/>
      <c r="M48" s="10"/>
    </row>
    <row r="49" spans="3:13" ht="12.75">
      <c r="C49" s="7" t="s">
        <v>216</v>
      </c>
      <c r="D49" s="6"/>
      <c r="E49" s="85">
        <f>Cin_Iripple</f>
        <v>1.2501757716959316</v>
      </c>
      <c r="F49" s="43"/>
      <c r="G49" s="74" t="s">
        <v>207</v>
      </c>
      <c r="H49" s="71"/>
      <c r="I49" s="71"/>
      <c r="J49" s="71"/>
      <c r="K49" s="71"/>
      <c r="L49" s="71"/>
      <c r="M49" s="10"/>
    </row>
    <row r="50" spans="5:13" ht="12.75">
      <c r="E50" s="32"/>
      <c r="F50" s="42"/>
      <c r="G50" s="71"/>
      <c r="H50" s="71"/>
      <c r="I50" s="71"/>
      <c r="J50" s="71"/>
      <c r="K50" s="71"/>
      <c r="L50" s="71"/>
      <c r="M50" s="10"/>
    </row>
    <row r="51" spans="1:13" ht="12.75">
      <c r="A51" s="4" t="s">
        <v>40</v>
      </c>
      <c r="C51" s="8"/>
      <c r="E51" s="28"/>
      <c r="F51" s="6"/>
      <c r="G51" s="71"/>
      <c r="H51" s="71"/>
      <c r="I51" s="71"/>
      <c r="J51" s="71"/>
      <c r="K51" s="71"/>
      <c r="L51" s="71"/>
      <c r="M51" s="10"/>
    </row>
    <row r="52" spans="3:13" ht="12.75">
      <c r="C52" s="8" t="s">
        <v>111</v>
      </c>
      <c r="D52" s="6"/>
      <c r="E52" s="12">
        <v>3</v>
      </c>
      <c r="F52" s="43">
        <v>1</v>
      </c>
      <c r="G52" s="71"/>
      <c r="H52" s="71"/>
      <c r="I52" s="71"/>
      <c r="J52" s="71"/>
      <c r="K52" s="71"/>
      <c r="L52" s="71"/>
      <c r="M52" s="10"/>
    </row>
    <row r="53" spans="3:14" ht="12.75">
      <c r="C53" s="7" t="s">
        <v>112</v>
      </c>
      <c r="D53" s="6"/>
      <c r="E53" s="84">
        <f>minESRo_jitter*1000</f>
        <v>0</v>
      </c>
      <c r="F53" s="42">
        <v>2</v>
      </c>
      <c r="G53" s="71"/>
      <c r="H53" s="71"/>
      <c r="I53" s="71"/>
      <c r="J53" s="71"/>
      <c r="K53" s="71"/>
      <c r="L53" s="71"/>
      <c r="M53" s="69"/>
      <c r="N53" s="70"/>
    </row>
    <row r="54" spans="3:15" ht="13.5" thickBot="1">
      <c r="C54" s="8" t="s">
        <v>113</v>
      </c>
      <c r="E54" s="93">
        <f>maxESRo*1000</f>
        <v>11.924939057607075</v>
      </c>
      <c r="F54" s="43">
        <v>3</v>
      </c>
      <c r="G54" s="71"/>
      <c r="H54" s="71"/>
      <c r="I54" s="71"/>
      <c r="J54" s="71"/>
      <c r="K54" s="71"/>
      <c r="L54" s="71"/>
      <c r="M54" s="71"/>
      <c r="N54" s="71"/>
      <c r="O54" s="10"/>
    </row>
    <row r="55" spans="3:15" ht="13.5" thickBot="1">
      <c r="C55" s="8" t="s">
        <v>114</v>
      </c>
      <c r="D55" s="6"/>
      <c r="E55" s="92">
        <v>0</v>
      </c>
      <c r="F55" s="13"/>
      <c r="G55" s="71"/>
      <c r="H55" s="71"/>
      <c r="I55" s="71"/>
      <c r="J55" s="71"/>
      <c r="K55" s="71"/>
      <c r="L55" s="71"/>
      <c r="M55" s="71"/>
      <c r="N55" s="71"/>
      <c r="O55" s="10"/>
    </row>
    <row r="56" spans="3:15" ht="13.5" thickBot="1">
      <c r="C56" s="8" t="s">
        <v>184</v>
      </c>
      <c r="D56" s="6"/>
      <c r="E56" s="94">
        <f>Coutmin*10^6</f>
        <v>62.372046629216996</v>
      </c>
      <c r="F56" s="13"/>
      <c r="G56" s="71"/>
      <c r="H56" s="71"/>
      <c r="I56" s="71"/>
      <c r="J56" s="71"/>
      <c r="K56" s="71"/>
      <c r="L56" s="71"/>
      <c r="M56" s="71"/>
      <c r="N56" s="71"/>
      <c r="O56" s="10"/>
    </row>
    <row r="57" spans="3:15" ht="13.5" thickBot="1">
      <c r="C57" s="8" t="s">
        <v>185</v>
      </c>
      <c r="D57" s="6"/>
      <c r="E57" s="92">
        <v>77</v>
      </c>
      <c r="F57" s="13"/>
      <c r="G57" s="71"/>
      <c r="H57" s="71"/>
      <c r="I57" s="71"/>
      <c r="J57" s="71"/>
      <c r="K57" s="71"/>
      <c r="L57" s="71"/>
      <c r="M57" s="71"/>
      <c r="N57" s="71"/>
      <c r="O57" s="10"/>
    </row>
    <row r="58" spans="3:14" ht="12.75">
      <c r="C58" s="7" t="s">
        <v>38</v>
      </c>
      <c r="D58" s="6"/>
      <c r="E58" s="85">
        <f>Cout_Iripple</f>
        <v>0.2420768216929907</v>
      </c>
      <c r="F58" s="13"/>
      <c r="G58" s="71"/>
      <c r="H58" s="71"/>
      <c r="I58" s="71"/>
      <c r="J58" s="71"/>
      <c r="K58" s="71"/>
      <c r="L58" s="71"/>
      <c r="M58" s="67"/>
      <c r="N58" s="68"/>
    </row>
    <row r="59" spans="5:12" ht="15.75">
      <c r="E59" s="95"/>
      <c r="F59" s="13"/>
      <c r="G59" s="65" t="s">
        <v>20</v>
      </c>
      <c r="H59" s="66"/>
      <c r="I59" s="66"/>
      <c r="J59" s="66"/>
      <c r="K59" s="67"/>
      <c r="L59" s="68"/>
    </row>
    <row r="60" spans="3:11" ht="13.5" thickBot="1">
      <c r="C60" s="8">
        <f>IF(RCType=2,"Minimum recommended value for Cff Capacitor [pF]","")</f>
      </c>
      <c r="D60" s="6"/>
      <c r="E60" s="80" t="str">
        <f>IF(RCType=2,__Cff*10^3,"NA")</f>
        <v>NA</v>
      </c>
      <c r="F60" s="13"/>
      <c r="K60" s="10"/>
    </row>
    <row r="61" spans="3:11" ht="13.5" thickBot="1">
      <c r="C61" s="8">
        <f>IF(RCType=2,"User select the value for Cff [pF]","")</f>
      </c>
      <c r="D61" s="6"/>
      <c r="E61" s="81" t="s">
        <v>220</v>
      </c>
      <c r="F61" s="13"/>
      <c r="G61" s="26" t="s">
        <v>21</v>
      </c>
      <c r="H61" s="26" t="s">
        <v>22</v>
      </c>
      <c r="I61" s="26" t="s">
        <v>23</v>
      </c>
      <c r="J61" s="18" t="s">
        <v>24</v>
      </c>
      <c r="K61" s="10"/>
    </row>
    <row r="62" spans="3:11" ht="14.25" thickBot="1" thickTop="1">
      <c r="C62" s="8" t="str">
        <f>IF(RCType=3,"Recommended value for C1 [pF]","")</f>
        <v>Recommended value for C1 [pF]</v>
      </c>
      <c r="D62" s="6"/>
      <c r="E62" s="102">
        <f>IF(RCType=3,3300,"NA")</f>
        <v>3300</v>
      </c>
      <c r="F62" s="13"/>
      <c r="G62" s="15" t="s">
        <v>28</v>
      </c>
      <c r="H62" s="19" t="s">
        <v>10</v>
      </c>
      <c r="I62" s="49">
        <f>LM_</f>
        <v>6.8</v>
      </c>
      <c r="J62" s="79">
        <f>Iclnom_atVinnom</f>
        <v>10.05164439198673</v>
      </c>
      <c r="K62" s="10"/>
    </row>
    <row r="63" spans="3:11" ht="14.25" thickBot="1" thickTop="1">
      <c r="C63" s="8" t="str">
        <f>IF(RCType=3,"Recommended value for R3 [kOhm]","")</f>
        <v>Recommended value for R3 [kOhm]</v>
      </c>
      <c r="D63" s="6"/>
      <c r="E63" s="82">
        <f>IF(RCType=3,__Rdcr/1000,"NA")</f>
        <v>48.1</v>
      </c>
      <c r="F63" s="13"/>
      <c r="G63" s="15" t="s">
        <v>43</v>
      </c>
      <c r="H63" s="19" t="s">
        <v>44</v>
      </c>
      <c r="I63" s="23" t="str">
        <f>PFET</f>
        <v>SI7465</v>
      </c>
      <c r="J63" s="77">
        <f>Vinmax</f>
        <v>24</v>
      </c>
      <c r="K63" s="10"/>
    </row>
    <row r="64" spans="3:11" ht="14.25" thickBot="1" thickTop="1">
      <c r="C64" s="8" t="str">
        <f>IF(RCType=3,"User Select the value for R3 [kOhm]","")</f>
        <v>User Select the value for R3 [kOhm]</v>
      </c>
      <c r="D64" s="6"/>
      <c r="E64" s="81">
        <v>50</v>
      </c>
      <c r="F64" s="13"/>
      <c r="G64" s="15" t="s">
        <v>47</v>
      </c>
      <c r="H64" s="19" t="s">
        <v>46</v>
      </c>
      <c r="I64" s="23" t="str">
        <f>DIODE</f>
        <v>MBRB2535</v>
      </c>
      <c r="J64" s="77">
        <f>Vinmax</f>
        <v>24</v>
      </c>
      <c r="K64" s="10"/>
    </row>
    <row r="65" spans="1:11" ht="12.75">
      <c r="A65" s="4"/>
      <c r="C65" s="8" t="str">
        <f>IF(RCType=3,"Recommended value for C2 [uF]","")</f>
        <v>Recommended value for C2 [uF]</v>
      </c>
      <c r="D65" s="6"/>
      <c r="E65" s="101">
        <f>IF(RCType=3,__Cac,"NA")</f>
        <v>0.1</v>
      </c>
      <c r="F65" s="13"/>
      <c r="G65" s="16" t="s">
        <v>124</v>
      </c>
      <c r="H65" s="20" t="s">
        <v>186</v>
      </c>
      <c r="I65" s="50">
        <f>Rfb1_</f>
        <v>10</v>
      </c>
      <c r="J65" s="24" t="str">
        <f>IF((BG^2/Rfb1)&lt;0.05,"1/16 W","1/8 W")</f>
        <v>1/16 W</v>
      </c>
      <c r="K65" s="10"/>
    </row>
    <row r="66" spans="3:11" ht="13.5" thickBot="1">
      <c r="C66" s="8" t="s">
        <v>115</v>
      </c>
      <c r="D66" s="6"/>
      <c r="E66" s="96">
        <f>Voripplemin*1000</f>
        <v>5.659166942453814</v>
      </c>
      <c r="F66" s="13"/>
      <c r="G66" s="17" t="s">
        <v>125</v>
      </c>
      <c r="H66" s="22" t="s">
        <v>187</v>
      </c>
      <c r="I66" s="107">
        <f>Rfb2_</f>
        <v>1.1</v>
      </c>
      <c r="J66" s="106" t="str">
        <f>IF(((Evout-BG)^2/Rfb2)&lt;0.05,"1/16 W","1/8 W")</f>
        <v>1/16 W</v>
      </c>
      <c r="K66" s="10"/>
    </row>
    <row r="67" spans="3:11" ht="14.25" thickBot="1" thickTop="1">
      <c r="C67" s="8" t="s">
        <v>116</v>
      </c>
      <c r="D67" s="6"/>
      <c r="E67" s="84">
        <f>Voripplemax*1000</f>
        <v>8.100265796002207</v>
      </c>
      <c r="F67" s="13"/>
      <c r="G67" s="109" t="s">
        <v>126</v>
      </c>
      <c r="H67" s="110" t="s">
        <v>188</v>
      </c>
      <c r="I67" s="111">
        <f>E29</f>
        <v>21.400000000000002</v>
      </c>
      <c r="J67" s="112" t="str">
        <f>IF((Vinmax^2/Rt)&lt;0.05,"1/16 W","1/8 W")</f>
        <v>1/16 W</v>
      </c>
      <c r="K67" s="10"/>
    </row>
    <row r="68" spans="6:11" ht="13.5" thickTop="1">
      <c r="F68" s="6"/>
      <c r="G68" s="16" t="s">
        <v>127</v>
      </c>
      <c r="H68" s="20" t="s">
        <v>15</v>
      </c>
      <c r="I68" s="104">
        <f>IF(CSType=1,Rsen_,Rdson_)</f>
        <v>7.7</v>
      </c>
      <c r="J68" s="108">
        <f>IF(CSType=1,Plossmax_Rsen,"")</f>
      </c>
      <c r="K68" s="10"/>
    </row>
    <row r="69" spans="1:11" ht="13.5" thickBot="1">
      <c r="A69" s="4" t="s">
        <v>41</v>
      </c>
      <c r="E69" s="34"/>
      <c r="F69" s="6"/>
      <c r="G69" s="17" t="s">
        <v>26</v>
      </c>
      <c r="H69" s="22" t="s">
        <v>189</v>
      </c>
      <c r="I69" s="51">
        <f>Radj_</f>
        <v>2</v>
      </c>
      <c r="J69" s="106" t="s">
        <v>214</v>
      </c>
      <c r="K69" s="10"/>
    </row>
    <row r="70" spans="3:10" ht="14.25" thickBot="1" thickTop="1">
      <c r="C70" s="8" t="s">
        <v>27</v>
      </c>
      <c r="D70" s="6"/>
      <c r="E70" s="81">
        <v>7.7</v>
      </c>
      <c r="F70" s="10"/>
      <c r="G70" s="103" t="s">
        <v>173</v>
      </c>
      <c r="H70" s="20" t="s">
        <v>123</v>
      </c>
      <c r="I70" s="104">
        <f>RESR_</f>
        <v>0</v>
      </c>
      <c r="J70" s="105">
        <f>Cout_Iripple^2*RESR_</f>
        <v>0</v>
      </c>
    </row>
    <row r="71" spans="3:10" ht="13.5" thickBot="1">
      <c r="C71" s="35" t="s">
        <v>117</v>
      </c>
      <c r="D71" s="6"/>
      <c r="E71" s="85">
        <f>Pdic</f>
        <v>0.06465745157503255</v>
      </c>
      <c r="G71" s="17" t="str">
        <f>IF(RCType=3,"Ripple Injection Resistor","")</f>
        <v>Ripple Injection Resistor</v>
      </c>
      <c r="H71" s="22" t="str">
        <f>IF(RCType=3,"R3","")</f>
        <v>R3</v>
      </c>
      <c r="I71" s="51">
        <f>IF(RCType=3,Rdcr_,"")</f>
        <v>50</v>
      </c>
      <c r="J71" s="58">
        <f>IF(RCType=3,(0.0000000033+E65*10^-6)*Fs_atVinmax,"")</f>
        <v>0.017360577639073928</v>
      </c>
    </row>
    <row r="72" spans="3:11" ht="13.5" thickTop="1">
      <c r="C72" s="35" t="s">
        <v>120</v>
      </c>
      <c r="D72" s="6"/>
      <c r="E72" s="84">
        <f>TempR_MSOP8</f>
        <v>8.146838898454101</v>
      </c>
      <c r="F72" s="6"/>
      <c r="G72" s="16" t="s">
        <v>29</v>
      </c>
      <c r="H72" s="20" t="s">
        <v>190</v>
      </c>
      <c r="I72" s="54">
        <f>Cin_</f>
        <v>30</v>
      </c>
      <c r="J72" s="59">
        <f>Vinmax</f>
        <v>24</v>
      </c>
      <c r="K72" s="10"/>
    </row>
    <row r="73" spans="3:10" ht="12.75">
      <c r="C73" s="35" t="s">
        <v>118</v>
      </c>
      <c r="D73" s="6"/>
      <c r="E73" s="84">
        <f>TempR_MSOP8EP</f>
        <v>2.9742427724514977</v>
      </c>
      <c r="G73" s="14" t="s">
        <v>25</v>
      </c>
      <c r="H73" s="21" t="s">
        <v>191</v>
      </c>
      <c r="I73" s="52">
        <f>Cout_</f>
        <v>77</v>
      </c>
      <c r="J73" s="60">
        <f>Vout</f>
        <v>1</v>
      </c>
    </row>
    <row r="74" spans="3:10" ht="12.75">
      <c r="C74" s="36" t="s">
        <v>119</v>
      </c>
      <c r="D74" s="6"/>
      <c r="E74" s="84">
        <f>TempR_LLP8</f>
        <v>3.491502385051758</v>
      </c>
      <c r="G74" s="14" t="s">
        <v>30</v>
      </c>
      <c r="H74" s="21" t="s">
        <v>192</v>
      </c>
      <c r="I74" s="53">
        <f>0.47</f>
        <v>0.47</v>
      </c>
      <c r="J74" s="60">
        <f>9</f>
        <v>9</v>
      </c>
    </row>
    <row r="75" spans="1:10" ht="12.75">
      <c r="A75" s="37">
        <f>IF(CHECK2=1,"VCC current limit, decrease Qg or Fs","")</f>
      </c>
      <c r="F75" s="10"/>
      <c r="G75" s="14" t="s">
        <v>217</v>
      </c>
      <c r="H75" s="21" t="s">
        <v>193</v>
      </c>
      <c r="I75" s="55">
        <f>0.1</f>
        <v>0.1</v>
      </c>
      <c r="J75" s="60">
        <f>Vinmax</f>
        <v>24</v>
      </c>
    </row>
    <row r="76" spans="1:10" ht="13.5" thickBot="1">
      <c r="A76" s="4" t="s">
        <v>45</v>
      </c>
      <c r="E76" s="34"/>
      <c r="G76" s="14" t="s">
        <v>31</v>
      </c>
      <c r="H76" s="21" t="s">
        <v>194</v>
      </c>
      <c r="I76" s="56">
        <f>1000</f>
        <v>1000</v>
      </c>
      <c r="J76" s="60">
        <f>Vinmax</f>
        <v>24</v>
      </c>
    </row>
    <row r="77" spans="3:10" ht="13.5" thickBot="1">
      <c r="C77" s="8" t="s">
        <v>121</v>
      </c>
      <c r="D77" s="6"/>
      <c r="E77" s="81" t="s">
        <v>219</v>
      </c>
      <c r="G77" s="14">
        <f>IF(RCType=2,"Feedforward Capacitor","")</f>
      </c>
      <c r="H77" s="21">
        <f>IF(RCType=2,"Cff","")</f>
      </c>
      <c r="I77" s="25">
        <f>IF(RCType=2,Cff_,"")</f>
      </c>
      <c r="J77" s="60">
        <f>IF(RCType=2,Vout,"")</f>
      </c>
    </row>
    <row r="78" spans="3:10" ht="13.5" thickBot="1">
      <c r="C78" s="8" t="s">
        <v>122</v>
      </c>
      <c r="D78" s="6"/>
      <c r="E78" s="81">
        <v>0.51</v>
      </c>
      <c r="F78" s="10"/>
      <c r="G78" s="14" t="str">
        <f>IF(RCType=3,"Ripple Sensing Capacitor","")</f>
        <v>Ripple Sensing Capacitor</v>
      </c>
      <c r="H78" s="21" t="str">
        <f>IF(RCType=3,"C1","")</f>
        <v>C1</v>
      </c>
      <c r="I78" s="25">
        <f>IF(RCType=3,E62,"")</f>
        <v>3300</v>
      </c>
      <c r="J78" s="60">
        <f>IF(RCType=3,Vinmax,"")</f>
        <v>24</v>
      </c>
    </row>
    <row r="79" spans="3:10" ht="12.75">
      <c r="C79" s="8" t="s">
        <v>42</v>
      </c>
      <c r="D79" s="6"/>
      <c r="E79" s="89">
        <f>Pd_diode</f>
        <v>1.5171653878524771</v>
      </c>
      <c r="G79" s="14" t="str">
        <f>IF(RCType=3,"Ripple Injection Capacitor","")</f>
        <v>Ripple Injection Capacitor</v>
      </c>
      <c r="H79" s="21" t="str">
        <f>IF(RCType=3,"C2","")</f>
        <v>C2</v>
      </c>
      <c r="I79" s="57">
        <f>IF(RCType=3,E65,"")</f>
        <v>0.1</v>
      </c>
      <c r="J79" s="60">
        <f>IF(RCType=3,Vinmax,"")</f>
        <v>24</v>
      </c>
    </row>
    <row r="80" ht="12.75">
      <c r="E80" s="113"/>
    </row>
    <row r="81" ht="12.75"/>
    <row r="82" ht="12.75">
      <c r="F82" s="10"/>
    </row>
    <row r="83" ht="12.75">
      <c r="G83" s="37"/>
    </row>
    <row r="94" ht="12.75">
      <c r="A94" s="37"/>
    </row>
    <row r="98" spans="1:2" ht="12.75">
      <c r="A98" s="30"/>
      <c r="B98" s="30"/>
    </row>
    <row r="99" spans="1:2" ht="12.75">
      <c r="A99" s="30"/>
      <c r="B99" s="30"/>
    </row>
    <row r="100" spans="1:28" ht="12.75">
      <c r="A100" s="61" t="s">
        <v>32</v>
      </c>
      <c r="B100" s="61" t="s">
        <v>33</v>
      </c>
      <c r="AA100" s="40" t="s">
        <v>48</v>
      </c>
      <c r="AB100" s="40">
        <v>0.9</v>
      </c>
    </row>
    <row r="101" spans="1:28" ht="12.75">
      <c r="A101" s="62">
        <v>1</v>
      </c>
      <c r="B101" s="61">
        <v>0.1</v>
      </c>
      <c r="AA101" s="40" t="s">
        <v>49</v>
      </c>
      <c r="AB101" s="41">
        <v>5E-08</v>
      </c>
    </row>
    <row r="102" spans="1:28" ht="12.75">
      <c r="A102" s="62">
        <v>1.5</v>
      </c>
      <c r="B102" s="61">
        <v>0.12</v>
      </c>
      <c r="AA102" s="40" t="s">
        <v>50</v>
      </c>
      <c r="AB102" s="41">
        <v>0.009</v>
      </c>
    </row>
    <row r="103" spans="1:28" ht="12.75">
      <c r="A103" s="62">
        <v>2.2</v>
      </c>
      <c r="B103" s="61">
        <v>0.15</v>
      </c>
      <c r="AA103" s="40" t="s">
        <v>51</v>
      </c>
      <c r="AB103" s="41">
        <v>3.2E-05</v>
      </c>
    </row>
    <row r="104" spans="1:28" ht="12.75">
      <c r="A104" s="62">
        <v>3.3</v>
      </c>
      <c r="B104" s="61">
        <v>0.18</v>
      </c>
      <c r="AA104" s="40" t="s">
        <v>52</v>
      </c>
      <c r="AB104" s="41">
        <v>4E-05</v>
      </c>
    </row>
    <row r="105" spans="1:28" ht="12.75">
      <c r="A105" s="62">
        <v>4.7</v>
      </c>
      <c r="B105" s="61">
        <v>0.22</v>
      </c>
      <c r="AA105" s="40" t="s">
        <v>53</v>
      </c>
      <c r="AB105" s="41">
        <v>4.8E-05</v>
      </c>
    </row>
    <row r="106" spans="1:28" ht="12.75">
      <c r="A106" s="62">
        <v>6.8</v>
      </c>
      <c r="B106" s="61">
        <v>0.27</v>
      </c>
      <c r="AA106" s="40" t="s">
        <v>136</v>
      </c>
      <c r="AB106" s="41">
        <v>0.35</v>
      </c>
    </row>
    <row r="107" spans="1:28" ht="12.75">
      <c r="A107" s="62">
        <v>10</v>
      </c>
      <c r="B107" s="61">
        <v>0.33</v>
      </c>
      <c r="AA107" s="40" t="s">
        <v>54</v>
      </c>
      <c r="AB107" s="41">
        <v>0.03</v>
      </c>
    </row>
    <row r="108" spans="1:28" ht="12.75">
      <c r="A108" s="62">
        <v>15</v>
      </c>
      <c r="B108" s="61">
        <v>0.39</v>
      </c>
      <c r="AA108" s="40" t="s">
        <v>55</v>
      </c>
      <c r="AB108" s="40">
        <v>0.5</v>
      </c>
    </row>
    <row r="109" spans="1:28" ht="12.75">
      <c r="A109" s="62">
        <v>22</v>
      </c>
      <c r="B109" s="61">
        <v>0.47</v>
      </c>
      <c r="AA109" s="40" t="s">
        <v>56</v>
      </c>
      <c r="AB109" s="41">
        <v>0.0014</v>
      </c>
    </row>
    <row r="110" spans="1:28" ht="12.75">
      <c r="A110" s="62">
        <v>33</v>
      </c>
      <c r="B110" s="61">
        <v>0.56</v>
      </c>
      <c r="AA110" s="40" t="s">
        <v>57</v>
      </c>
      <c r="AB110" s="40">
        <v>126</v>
      </c>
    </row>
    <row r="111" spans="1:28" ht="12.75">
      <c r="A111" s="62">
        <v>47</v>
      </c>
      <c r="B111" s="61">
        <v>0.68</v>
      </c>
      <c r="AA111" s="40" t="s">
        <v>58</v>
      </c>
      <c r="AB111" s="40">
        <v>46</v>
      </c>
    </row>
    <row r="112" spans="1:28" ht="12.75">
      <c r="A112" s="62">
        <v>68</v>
      </c>
      <c r="B112" s="61">
        <v>0.82</v>
      </c>
      <c r="AA112" s="40" t="s">
        <v>59</v>
      </c>
      <c r="AB112" s="40">
        <v>54</v>
      </c>
    </row>
    <row r="113" spans="1:28" ht="12.75">
      <c r="A113" s="62">
        <v>100</v>
      </c>
      <c r="B113" s="61">
        <v>1</v>
      </c>
      <c r="AA113" s="40" t="s">
        <v>60</v>
      </c>
      <c r="AB113" s="41">
        <v>0.00116</v>
      </c>
    </row>
    <row r="114" spans="1:28" ht="12.75">
      <c r="A114" s="62">
        <v>150</v>
      </c>
      <c r="B114" s="61">
        <v>1.2</v>
      </c>
      <c r="AA114" s="40" t="s">
        <v>61</v>
      </c>
      <c r="AB114" s="41">
        <v>0.02</v>
      </c>
    </row>
    <row r="115" spans="1:28" ht="12.75">
      <c r="A115" s="62">
        <v>220</v>
      </c>
      <c r="B115" s="61">
        <v>1.5</v>
      </c>
      <c r="AA115" s="40" t="s">
        <v>8</v>
      </c>
      <c r="AB115" s="41">
        <v>1E-09</v>
      </c>
    </row>
    <row r="116" spans="1:28" ht="12.75">
      <c r="A116" s="62">
        <v>330</v>
      </c>
      <c r="B116" s="61">
        <v>1.8</v>
      </c>
      <c r="AA116" s="40" t="s">
        <v>6</v>
      </c>
      <c r="AB116" s="41">
        <v>1E-07</v>
      </c>
    </row>
    <row r="117" spans="1:28" ht="12.75">
      <c r="A117" s="62">
        <v>470</v>
      </c>
      <c r="B117" s="61">
        <v>2.2</v>
      </c>
      <c r="AA117" s="40" t="s">
        <v>7</v>
      </c>
      <c r="AB117" s="41">
        <v>4.7E-07</v>
      </c>
    </row>
    <row r="118" spans="1:28" ht="12.75">
      <c r="A118" s="62">
        <v>680</v>
      </c>
      <c r="B118" s="61">
        <v>2.7</v>
      </c>
      <c r="AA118" s="40" t="s">
        <v>200</v>
      </c>
      <c r="AB118" s="41">
        <v>0.01</v>
      </c>
    </row>
    <row r="119" spans="1:28" ht="12.75">
      <c r="A119" s="62">
        <v>1000</v>
      </c>
      <c r="B119" s="61">
        <v>3.3</v>
      </c>
      <c r="AA119" s="40" t="s">
        <v>84</v>
      </c>
      <c r="AB119" s="40">
        <v>0.2</v>
      </c>
    </row>
    <row r="120" spans="1:2" ht="12.75">
      <c r="A120" s="62">
        <v>1500</v>
      </c>
      <c r="B120" s="61">
        <v>3.9</v>
      </c>
    </row>
    <row r="121" spans="1:2" ht="12.75">
      <c r="A121" s="62">
        <v>2200</v>
      </c>
      <c r="B121" s="61">
        <v>4.7</v>
      </c>
    </row>
    <row r="122" spans="1:2" ht="12.75">
      <c r="A122" s="62">
        <v>3300</v>
      </c>
      <c r="B122" s="61">
        <v>5.6</v>
      </c>
    </row>
    <row r="123" spans="1:2" ht="12.75">
      <c r="A123" s="62">
        <v>4700</v>
      </c>
      <c r="B123" s="61">
        <v>6.8</v>
      </c>
    </row>
    <row r="124" spans="1:2" ht="12.75">
      <c r="A124" s="62">
        <v>6800</v>
      </c>
      <c r="B124" s="61">
        <v>8.2</v>
      </c>
    </row>
    <row r="125" spans="1:28" ht="12.75">
      <c r="A125" s="62"/>
      <c r="B125" s="61">
        <v>10</v>
      </c>
      <c r="AA125" s="39" t="s">
        <v>62</v>
      </c>
      <c r="AB125" s="39">
        <f>Vinmax_</f>
        <v>24</v>
      </c>
    </row>
    <row r="126" spans="1:28" ht="12.75">
      <c r="A126" s="61"/>
      <c r="B126" s="61">
        <v>12</v>
      </c>
      <c r="AA126" s="39" t="s">
        <v>63</v>
      </c>
      <c r="AB126" s="39">
        <f>Vinnom_</f>
        <v>12</v>
      </c>
    </row>
    <row r="127" spans="1:28" ht="12.75">
      <c r="A127" s="61"/>
      <c r="B127" s="61">
        <v>15</v>
      </c>
      <c r="AA127" s="39" t="s">
        <v>64</v>
      </c>
      <c r="AB127" s="39">
        <f>Vinmin_</f>
        <v>4.5</v>
      </c>
    </row>
    <row r="128" spans="1:28" ht="12.75">
      <c r="A128" s="61"/>
      <c r="B128" s="61">
        <v>18</v>
      </c>
      <c r="AA128" s="39" t="s">
        <v>65</v>
      </c>
      <c r="AB128" s="39">
        <f>Vout_</f>
        <v>1</v>
      </c>
    </row>
    <row r="129" spans="1:28" ht="12.75">
      <c r="A129" s="61"/>
      <c r="B129" s="61">
        <v>22</v>
      </c>
      <c r="AA129" s="39" t="s">
        <v>66</v>
      </c>
      <c r="AB129" s="39">
        <f>Iomax_</f>
        <v>3</v>
      </c>
    </row>
    <row r="130" spans="1:28" ht="12.75">
      <c r="A130" s="61"/>
      <c r="B130" s="61">
        <v>27</v>
      </c>
      <c r="AA130" s="39" t="s">
        <v>67</v>
      </c>
      <c r="AB130" s="39">
        <f>Iomin_</f>
        <v>0.5</v>
      </c>
    </row>
    <row r="131" spans="1:2" ht="12.75">
      <c r="A131" s="61"/>
      <c r="B131" s="61">
        <v>33</v>
      </c>
    </row>
    <row r="132" spans="1:2" ht="12.75">
      <c r="A132" s="61"/>
      <c r="B132" s="61">
        <v>39</v>
      </c>
    </row>
    <row r="133" spans="1:2" ht="12.75">
      <c r="A133" s="61"/>
      <c r="B133" s="61">
        <v>47</v>
      </c>
    </row>
    <row r="134" spans="1:2" ht="12.75">
      <c r="A134" s="61"/>
      <c r="B134" s="61">
        <v>56</v>
      </c>
    </row>
    <row r="135" spans="1:2" ht="12.75">
      <c r="A135" s="61"/>
      <c r="B135" s="61">
        <v>68</v>
      </c>
    </row>
    <row r="136" spans="1:28" ht="12.75">
      <c r="A136" s="61"/>
      <c r="B136" s="61">
        <v>82</v>
      </c>
      <c r="AA136" s="37" t="s">
        <v>68</v>
      </c>
      <c r="AB136" s="37">
        <f>(Vout-BG)/BG</f>
        <v>0.11111111111111108</v>
      </c>
    </row>
    <row r="137" spans="1:28" ht="12.75">
      <c r="A137" s="61"/>
      <c r="B137" s="61">
        <v>100</v>
      </c>
      <c r="AA137" s="39" t="s">
        <v>13</v>
      </c>
      <c r="AB137" s="39">
        <f>Rfb2_*1000</f>
        <v>1100</v>
      </c>
    </row>
    <row r="138" spans="1:28" ht="12.75">
      <c r="A138" s="61"/>
      <c r="B138" s="61">
        <v>120</v>
      </c>
      <c r="AA138" s="2" t="s">
        <v>69</v>
      </c>
      <c r="AB138" s="2">
        <f>Rfb2/(Vout/BG-1)</f>
        <v>9899.999999999996</v>
      </c>
    </row>
    <row r="139" spans="1:28" ht="12.75">
      <c r="A139" s="61"/>
      <c r="B139" s="61">
        <v>150</v>
      </c>
      <c r="AA139" s="37" t="s">
        <v>70</v>
      </c>
      <c r="AB139" s="37">
        <f>R_E192(_Rfb1)</f>
        <v>9880</v>
      </c>
    </row>
    <row r="140" spans="1:28" ht="12.75">
      <c r="A140" s="61"/>
      <c r="B140" s="61">
        <v>180</v>
      </c>
      <c r="AA140" s="39" t="s">
        <v>14</v>
      </c>
      <c r="AB140" s="39">
        <f>Rfb1_*1000</f>
        <v>10000</v>
      </c>
    </row>
    <row r="141" spans="1:28" ht="12.75">
      <c r="A141" s="61"/>
      <c r="B141" s="61">
        <v>220</v>
      </c>
      <c r="AA141" s="37" t="s">
        <v>71</v>
      </c>
      <c r="AB141" s="37">
        <f>BG*(Rfb1+Rfb2)/Rfb1</f>
        <v>0.999</v>
      </c>
    </row>
    <row r="142" spans="1:2" ht="12.75">
      <c r="A142" s="61"/>
      <c r="B142" s="61">
        <v>270</v>
      </c>
    </row>
    <row r="143" spans="1:2" ht="12.75">
      <c r="A143" s="61"/>
      <c r="B143" s="61">
        <v>330</v>
      </c>
    </row>
    <row r="144" spans="1:2" ht="12.75">
      <c r="A144" s="61"/>
      <c r="B144" s="61">
        <v>390</v>
      </c>
    </row>
    <row r="145" spans="1:2" ht="12.75">
      <c r="A145" s="61"/>
      <c r="B145" s="61">
        <v>470</v>
      </c>
    </row>
    <row r="146" spans="1:2" ht="12.75">
      <c r="A146" s="61"/>
      <c r="B146" s="61">
        <v>560</v>
      </c>
    </row>
    <row r="147" spans="1:28" ht="12.75">
      <c r="A147" s="61"/>
      <c r="B147" s="61">
        <v>680</v>
      </c>
      <c r="AA147" s="39" t="s">
        <v>72</v>
      </c>
      <c r="AB147" s="39">
        <f>Fs_*1000</f>
        <v>200000</v>
      </c>
    </row>
    <row r="148" spans="1:28" ht="12.75">
      <c r="A148" s="61"/>
      <c r="B148" s="61">
        <v>820</v>
      </c>
      <c r="AA148" s="39" t="s">
        <v>73</v>
      </c>
      <c r="AB148" s="39">
        <f>Tdfet_*10^-9</f>
        <v>5.0000000000000004E-08</v>
      </c>
    </row>
    <row r="149" spans="1:28" ht="12.75">
      <c r="A149" s="30"/>
      <c r="B149" s="30"/>
      <c r="AA149" s="2" t="s">
        <v>74</v>
      </c>
      <c r="AB149" s="2">
        <f>Vout*(Vinnom-1.56)/(0.000000000145*Vinnom*Fs)-(Tdic+Tdfet)*(Vinnom-1.56)/0.000000000145-1400</f>
        <v>21400.000000000004</v>
      </c>
    </row>
    <row r="150" spans="1:28" ht="12.75">
      <c r="A150" s="30"/>
      <c r="B150" s="30"/>
      <c r="AA150" s="37" t="s">
        <v>75</v>
      </c>
      <c r="AB150" s="37">
        <f>R_E192(_Rt)</f>
        <v>21500</v>
      </c>
    </row>
    <row r="151" spans="1:28" ht="12.75">
      <c r="A151" s="30"/>
      <c r="B151" s="30"/>
      <c r="AA151" s="2" t="s">
        <v>4</v>
      </c>
      <c r="AB151" s="2">
        <f>__Rt</f>
        <v>21500</v>
      </c>
    </row>
    <row r="152" spans="1:2" ht="12.75">
      <c r="A152" s="30"/>
      <c r="B152" s="30"/>
    </row>
    <row r="153" spans="1:32" ht="12.75">
      <c r="A153" s="30"/>
      <c r="B153" s="30"/>
      <c r="AA153" s="2" t="s">
        <v>77</v>
      </c>
      <c r="AB153" s="2">
        <f>Vout*(Vinmin-1.56+Rt/3167000)/(Vinmin*(0.000000000145*(Rt+1400)+(Tdic+Tdfet)*(Vinmin-1.56+Rt/3167000)))</f>
        <v>181136.80372104413</v>
      </c>
      <c r="AC153" s="2" t="s">
        <v>78</v>
      </c>
      <c r="AD153" s="2">
        <f>Vout*(Vinnom-1.56+Rt/3167000)/(Vinnom*(0.000000000145*(Rt+1400)+(Tdic+Tdfet)*(Vinnom-1.56+Rt/3167000)))</f>
        <v>199434.14798600203</v>
      </c>
      <c r="AE153" s="2" t="s">
        <v>79</v>
      </c>
      <c r="AF153" s="2">
        <f>Vout*(Vinmax-1.56+Rt/3167000)/(Vinmax*(0.000000000145*(Rt+1400)+(Tdic+Tdfet)*(Vinmax-1.56+Rt/3167000)))</f>
        <v>168059.80289519776</v>
      </c>
    </row>
    <row r="154" spans="1:32" ht="12.75">
      <c r="A154" s="30"/>
      <c r="B154" s="30"/>
      <c r="AA154" s="2" t="s">
        <v>80</v>
      </c>
      <c r="AB154" s="2">
        <f>0.000000000145*(Rt+1400)/(Vinmin-1.56+Rt/3167000)+(Tdic+Tdfet)</f>
        <v>1.2268198270984776E-06</v>
      </c>
      <c r="AC154" s="2" t="s">
        <v>81</v>
      </c>
      <c r="AD154" s="2">
        <f>0.000000000145*(Rt+1400)/(Vinnom-1.56+Rt/3167000)+(Tdic+Tdfet)</f>
        <v>4.178488697892518E-07</v>
      </c>
      <c r="AE154" s="2" t="s">
        <v>83</v>
      </c>
      <c r="AF154" s="2">
        <f>0.000000000145*(Rt+1400)/(Vinmax-1.56+Rt/3167000)+(Tdic+Tdfet)</f>
        <v>2.479276183172131E-07</v>
      </c>
    </row>
    <row r="155" spans="1:28" ht="12.75">
      <c r="A155" s="30"/>
      <c r="B155" s="30"/>
      <c r="AA155" s="2" t="s">
        <v>82</v>
      </c>
      <c r="AB155" s="2">
        <f>IF((Ton_atVinmax-Tdfet)&lt;=0.00000015,1,0)</f>
        <v>0</v>
      </c>
    </row>
    <row r="156" spans="1:2" ht="12.75">
      <c r="A156" s="30"/>
      <c r="B156" s="30"/>
    </row>
    <row r="157" spans="1:2" ht="12.75">
      <c r="A157" s="30"/>
      <c r="B157" s="30"/>
    </row>
    <row r="158" spans="1:2" ht="12.75">
      <c r="A158" s="30"/>
      <c r="B158" s="30"/>
    </row>
    <row r="159" spans="1:2" ht="12.75">
      <c r="A159" s="30"/>
      <c r="B159" s="30"/>
    </row>
    <row r="160" spans="1:28" ht="12.75">
      <c r="A160" s="30"/>
      <c r="B160" s="30"/>
      <c r="AA160" s="2" t="s">
        <v>85</v>
      </c>
      <c r="AB160" s="2">
        <f>Iomax*RR</f>
        <v>0.6000000000000001</v>
      </c>
    </row>
    <row r="161" spans="1:28" ht="12.75">
      <c r="A161" s="30"/>
      <c r="B161" s="30"/>
      <c r="AA161" s="2" t="s">
        <v>86</v>
      </c>
      <c r="AB161" s="2">
        <f>Iomin*2</f>
        <v>1</v>
      </c>
    </row>
    <row r="162" spans="1:28" ht="12.75">
      <c r="A162" s="30"/>
      <c r="B162" s="30"/>
      <c r="AA162" s="2" t="s">
        <v>87</v>
      </c>
      <c r="AB162" s="2">
        <f>Ton_atVinmax*(Vinmax-Vout)/nomIpp</f>
        <v>9.503892035493168E-06</v>
      </c>
    </row>
    <row r="163" spans="1:28" ht="12.75">
      <c r="A163" s="30"/>
      <c r="B163" s="30"/>
      <c r="AA163" s="2" t="s">
        <v>88</v>
      </c>
      <c r="AB163" s="2">
        <f>Ton_atVinmax*(Vinmax-Vout)/maxIpp</f>
        <v>5.702335221295902E-06</v>
      </c>
    </row>
    <row r="164" spans="1:28" ht="12.75">
      <c r="A164" s="30"/>
      <c r="B164" s="30"/>
      <c r="AA164" s="2" t="s">
        <v>92</v>
      </c>
      <c r="AB164" s="2">
        <f>IF(Iomin&lt;0.2*Iomax,Lnom,Lmin)</f>
        <v>9.503892035493168E-06</v>
      </c>
    </row>
    <row r="165" spans="27:28" ht="12.75">
      <c r="AA165" s="37" t="s">
        <v>93</v>
      </c>
      <c r="AB165" s="37">
        <f>IF(_LM*10^6&gt;(LARGE(B101:B148,MAX(COUNTIF(B101:B148,"&gt;="&amp;_LM*10^6),1))+SMALL(B101:B148,MAX(COUNTIF(B101:B148,"&lt;"&amp;_LM*10^6),1)))/2,LARGE(B101:B148,MAX(COUNTIF(B101:B148,"&gt;="&amp;_LM*10^6),1)),SMALL(B101:B148,MAX(COUNTIF(B101:B148,"&lt;"&amp;_LM*10^6),1)))</f>
        <v>10</v>
      </c>
    </row>
    <row r="166" spans="27:28" ht="12.75">
      <c r="AA166" s="39" t="s">
        <v>94</v>
      </c>
      <c r="AB166" s="39">
        <f>LM_*10^-6</f>
        <v>6.799999999999999E-06</v>
      </c>
    </row>
    <row r="168" spans="27:32" ht="12.75">
      <c r="AA168" s="2" t="s">
        <v>90</v>
      </c>
      <c r="AB168" s="2">
        <f>Ton_atVinmin*(Vinmin-Vout)/2/LM+Iomax</f>
        <v>3.3157256907974024</v>
      </c>
      <c r="AC168" s="2" t="s">
        <v>91</v>
      </c>
      <c r="AD168" s="2">
        <f>Ton_atVinnom*(Vinnom-Vout)/2/LM+Iomax</f>
        <v>3.3379659976236598</v>
      </c>
      <c r="AE168" s="37" t="s">
        <v>89</v>
      </c>
      <c r="AF168" s="37">
        <f>Ton_atVinmax*(Vinmax-Vout)/2/LM+Iomax</f>
        <v>3.4192893545070517</v>
      </c>
    </row>
    <row r="169" spans="27:28" ht="12.75">
      <c r="AA169" s="2" t="s">
        <v>215</v>
      </c>
      <c r="AB169" s="37">
        <f>Ton_atVinmax*(Vinmax-Vout)/LM</f>
        <v>0.8385787090141033</v>
      </c>
    </row>
    <row r="171" spans="27:28" ht="12.75">
      <c r="AA171" s="2" t="s">
        <v>204</v>
      </c>
      <c r="AB171" s="2">
        <f>0.05/Iomax*1000</f>
        <v>16.666666666666668</v>
      </c>
    </row>
    <row r="172" spans="27:28" ht="12.75">
      <c r="AA172" s="2" t="s">
        <v>203</v>
      </c>
      <c r="AB172" s="2">
        <f>2/(Iomax^2*Vout/Vinmin*(1+1/3*(2*(Ipeak_atVinmin-Iomax)/Iomax)^2))*1000</f>
        <v>985.4471052130133</v>
      </c>
    </row>
    <row r="173" spans="27:28" ht="12.75">
      <c r="AA173" s="39" t="s">
        <v>139</v>
      </c>
      <c r="AB173" s="39">
        <f>CSType</f>
        <v>2</v>
      </c>
    </row>
    <row r="174" spans="27:28" ht="12.75">
      <c r="AA174" s="39" t="s">
        <v>95</v>
      </c>
      <c r="AB174" s="39">
        <f>Rdson_*10^-3</f>
        <v>0.0077</v>
      </c>
    </row>
    <row r="175" spans="27:28" ht="12.75">
      <c r="AA175" s="39" t="s">
        <v>96</v>
      </c>
      <c r="AB175" s="39" t="e">
        <f>Rsen_*10^-3</f>
        <v>#VALUE!</v>
      </c>
    </row>
    <row r="176" spans="27:28" ht="12.75">
      <c r="AA176" s="2" t="s">
        <v>97</v>
      </c>
      <c r="AB176" s="2">
        <f>IF(CSType=1,Rsen,Rdson)</f>
        <v>0.0077</v>
      </c>
    </row>
    <row r="177" spans="27:28" ht="12.75">
      <c r="AA177" s="2" t="s">
        <v>98</v>
      </c>
      <c r="AB177" s="2">
        <f>Senseoffset/Reff</f>
        <v>1.1688311688311688</v>
      </c>
    </row>
    <row r="178" spans="27:28" ht="12.75">
      <c r="AA178" s="2" t="s">
        <v>99</v>
      </c>
      <c r="AB178" s="2">
        <f>(Icl_offset+Ipeak_atVinmax)*Reff/Iadjmin</f>
        <v>1104.0165009282593</v>
      </c>
    </row>
    <row r="179" spans="27:28" ht="12.75">
      <c r="AA179" s="37" t="s">
        <v>100</v>
      </c>
      <c r="AB179" s="37">
        <f>R_E192(_Radj_min)</f>
        <v>1100</v>
      </c>
    </row>
    <row r="180" spans="27:28" ht="12.75">
      <c r="AA180" s="39" t="s">
        <v>9</v>
      </c>
      <c r="AB180" s="39">
        <f>Radj_*1000</f>
        <v>2000</v>
      </c>
    </row>
    <row r="182" spans="27:32" ht="12.75">
      <c r="AA182" s="2" t="s">
        <v>103</v>
      </c>
      <c r="AB182" s="2">
        <f>Radj*Iadjmax/Reff-(Ipeak_atVinmin-Iomax)</f>
        <v>12.151806776735066</v>
      </c>
      <c r="AC182" s="37" t="s">
        <v>102</v>
      </c>
      <c r="AD182" s="37">
        <f>Radj*Iadjnom/Reff-(Ipeak_atVinnom-Iomax)</f>
        <v>10.05164439198673</v>
      </c>
      <c r="AE182" s="2" t="s">
        <v>101</v>
      </c>
      <c r="AF182" s="2">
        <f>Radj*Iadjmin/Reff-(Ipeak_atVinmax-Iomax)</f>
        <v>7.892398957181259</v>
      </c>
    </row>
    <row r="184" spans="27:28" ht="12.75">
      <c r="AA184" s="37" t="s">
        <v>104</v>
      </c>
      <c r="AB184" s="63" t="e">
        <f>Iclmax_atVinmin^2*Vout/Vinmin*(1+1/3*(2*(Ipeak_atVinmin-Iomax)/Iclmax_atVinmin)^2)*Rsen</f>
        <v>#VALUE!</v>
      </c>
    </row>
    <row r="185" spans="27:28" ht="12.75">
      <c r="AA185" s="37" t="s">
        <v>175</v>
      </c>
      <c r="AB185" s="37" t="e">
        <f>Iomax^2*Rsen</f>
        <v>#VALUE!</v>
      </c>
    </row>
    <row r="187" ht="12.75">
      <c r="W187" s="38"/>
    </row>
    <row r="190" spans="27:28" ht="12.75">
      <c r="AA190" s="39" t="s">
        <v>128</v>
      </c>
      <c r="AB190" s="46">
        <f>maxR_vin</f>
        <v>0.5</v>
      </c>
    </row>
    <row r="191" spans="27:28" ht="12.75">
      <c r="AA191" s="2" t="s">
        <v>129</v>
      </c>
      <c r="AB191" s="2">
        <f>Iomax*Ton_atVinmin/maxR_vin-Cbyp</f>
        <v>7.260918962590866E-06</v>
      </c>
    </row>
    <row r="192" spans="27:28" ht="12.75">
      <c r="AA192" s="37" t="s">
        <v>130</v>
      </c>
      <c r="AB192" s="37">
        <f>_Cinmin*10^6</f>
        <v>7.260918962590866</v>
      </c>
    </row>
    <row r="193" spans="27:28" ht="12.75">
      <c r="AA193" s="39" t="s">
        <v>5</v>
      </c>
      <c r="AB193" s="39">
        <f>Cin_*10^-6</f>
        <v>2.9999999999999997E-05</v>
      </c>
    </row>
    <row r="194" spans="27:28" ht="12.75">
      <c r="AA194" s="2" t="s">
        <v>131</v>
      </c>
      <c r="AB194" s="2">
        <f>Vout/Vinmin</f>
        <v>0.2222222222222222</v>
      </c>
    </row>
    <row r="195" spans="27:28" ht="12.75">
      <c r="AA195" s="37" t="s">
        <v>132</v>
      </c>
      <c r="AB195" s="37">
        <f>Iomax*SQRT(Dmax*(1-Dmax+((Vinmin-Vout)*Ton_atVinmin/LM/Iomax)^2/12))</f>
        <v>1.2501757716959316</v>
      </c>
    </row>
    <row r="200" spans="27:28" ht="12.75">
      <c r="AA200" s="39" t="s">
        <v>140</v>
      </c>
      <c r="AB200" s="39">
        <f>RCType</f>
        <v>3</v>
      </c>
    </row>
    <row r="201" spans="27:28" ht="12.75">
      <c r="AA201" s="37" t="s">
        <v>133</v>
      </c>
      <c r="AB201" s="37">
        <f>IF(RCType=1,minRippleonFB/2/(Ipeak_atVinmin-Iomax)*Vout/BG,IF(RCType=2,minRippleonFB/2/(Ipeak_atVinmin-Iomax),0))</f>
        <v>0</v>
      </c>
    </row>
    <row r="202" spans="27:28" ht="12.75">
      <c r="AA202" s="2" t="s">
        <v>134</v>
      </c>
      <c r="AB202" s="2">
        <f>IF(RCType=3,RCripple/2/(Ipeak_atVinmax-Iomax),100)</f>
        <v>0.011924939057607074</v>
      </c>
    </row>
    <row r="203" spans="27:28" ht="12.75">
      <c r="AA203" s="2" t="s">
        <v>135</v>
      </c>
      <c r="AB203" s="2">
        <f>IF(RCType=2,OVPthmin/(Ipeak_atVinmax-Iomax),OVPthmin/(Ipeak_atVinmax-Iomax)*Vout/BG)</f>
        <v>0.9274952600361057</v>
      </c>
    </row>
    <row r="204" spans="27:28" ht="12.75">
      <c r="AA204" s="37" t="s">
        <v>137</v>
      </c>
      <c r="AB204" s="37">
        <f>MIN(maxESRo_ripple,maxESRo_OVP)</f>
        <v>0.011924939057607074</v>
      </c>
    </row>
    <row r="205" spans="27:28" ht="12.75">
      <c r="AA205" s="39" t="s">
        <v>138</v>
      </c>
      <c r="AB205" s="39">
        <f>RESR_/1000</f>
        <v>0</v>
      </c>
    </row>
    <row r="210" spans="27:28" ht="12.75">
      <c r="AA210" s="2" t="s">
        <v>201</v>
      </c>
      <c r="AB210" s="2">
        <f>1/LM/(Fs*3.14/10)^2</f>
        <v>3.728823266902607E-05</v>
      </c>
    </row>
    <row r="211" spans="27:28" ht="12.75">
      <c r="AA211" s="47" t="s">
        <v>141</v>
      </c>
      <c r="AB211" s="47">
        <f>2*(Ipeak_atVinmax-Iomax)/8/Fs_atVinmax/RCripple</f>
        <v>6.2372046629217E-05</v>
      </c>
    </row>
    <row r="212" spans="27:28" ht="12.75">
      <c r="AA212" s="2" t="s">
        <v>142</v>
      </c>
      <c r="AB212" s="2">
        <f>IF(RCType=3,0,IF(RESR&gt;=0.0001,Ton_atVinmin/2/RESR,Ton_atVinmin/2/0.0001))</f>
        <v>0</v>
      </c>
    </row>
    <row r="213" spans="27:28" ht="12.75">
      <c r="AA213" s="37" t="s">
        <v>143</v>
      </c>
      <c r="AB213" s="37">
        <f>IF(RCType=3,MAX(Coutmin_Rcripple,Coutmin_Reso),MAX(Coutmin_LCO,Coutmin_Reso))</f>
        <v>6.2372046629217E-05</v>
      </c>
    </row>
    <row r="214" spans="27:28" ht="12.75">
      <c r="AA214" s="39" t="s">
        <v>12</v>
      </c>
      <c r="AB214" s="39">
        <f>Cout_*10^-6</f>
        <v>7.7E-05</v>
      </c>
    </row>
    <row r="215" spans="27:28" ht="12.75">
      <c r="AA215" s="37" t="s">
        <v>144</v>
      </c>
      <c r="AB215" s="37">
        <f>(Vinmax-Vout)*Ton_atVinmax/LM/SQRT(12)</f>
        <v>0.2420768216929907</v>
      </c>
    </row>
    <row r="216" spans="27:28" ht="12.75">
      <c r="AA216" s="2" t="s">
        <v>197</v>
      </c>
      <c r="AB216" s="2">
        <f>Iomax*Tssmin/Vout</f>
        <v>0.00348</v>
      </c>
    </row>
    <row r="221" spans="27:28" ht="12.75">
      <c r="AA221" s="2" t="s">
        <v>145</v>
      </c>
      <c r="AB221" s="2">
        <f>3*Ton_atVinmin/(Rfb2*Rfb1/(Rfb1+Rfb2))</f>
        <v>3.713918203852664E-09</v>
      </c>
    </row>
    <row r="222" spans="27:28" ht="12.75">
      <c r="AA222" s="37" t="s">
        <v>146</v>
      </c>
      <c r="AB222" s="37">
        <f>IF(_Cff*10^9&gt;(LARGE(B101:B148,MAX(COUNTIF(B101:B148,"&gt;="&amp;_Cff*10^9),1))+SMALL(B101:B148,MAX(COUNTIF(B101:B148,"&lt;"&amp;_Cff*10^9),1)))/2,LARGE(B101:B148,MAX(COUNTIF(B101:B148,"&gt;="&amp;_Cff*10^9),1)),SMALL(B101:B148,MAX(COUNTIF(B101:B148,"&lt;"&amp;_Cff*10^9),1)))</f>
        <v>3.9</v>
      </c>
    </row>
    <row r="223" spans="27:28" ht="12.75">
      <c r="AA223" s="39" t="s">
        <v>11</v>
      </c>
      <c r="AB223" s="39" t="e">
        <f>Cff_*10^-12</f>
        <v>#VALUE!</v>
      </c>
    </row>
    <row r="226" spans="27:28" ht="12.75">
      <c r="AA226" s="37" t="s">
        <v>147</v>
      </c>
      <c r="AB226" s="45">
        <v>3.3E-09</v>
      </c>
    </row>
    <row r="227" spans="27:28" ht="12.75">
      <c r="AA227" s="2" t="s">
        <v>150</v>
      </c>
      <c r="AB227" s="2">
        <f>Vout-Vsw*(1-Vout/Vinmin)</f>
        <v>0.6111111111111112</v>
      </c>
    </row>
    <row r="228" spans="27:28" ht="12.75">
      <c r="AA228" s="2" t="s">
        <v>149</v>
      </c>
      <c r="AB228" s="2">
        <f>(Vinmin-VA)*Ton_atVinmin/minRippleonFB</f>
        <v>0.00015903219980906193</v>
      </c>
    </row>
    <row r="229" spans="27:28" ht="12.75">
      <c r="AA229" s="2" t="s">
        <v>151</v>
      </c>
      <c r="AB229" s="2">
        <f>RdcrCdcr/Cdcr</f>
        <v>48191.57569971574</v>
      </c>
    </row>
    <row r="230" spans="27:28" ht="12.75">
      <c r="AA230" s="37" t="s">
        <v>152</v>
      </c>
      <c r="AB230" s="37">
        <f>R_E192(_Rdcr)</f>
        <v>48100</v>
      </c>
    </row>
    <row r="231" spans="27:28" ht="12.75">
      <c r="AA231" s="39" t="s">
        <v>148</v>
      </c>
      <c r="AB231" s="39">
        <f>Rdcr_*1000</f>
        <v>50000</v>
      </c>
    </row>
    <row r="232" spans="27:28" ht="12.75">
      <c r="AA232" s="47" t="s">
        <v>153</v>
      </c>
      <c r="AB232" s="47">
        <f>MAX(Cdcr*10,0.0000001)</f>
        <v>1E-07</v>
      </c>
    </row>
    <row r="233" spans="27:28" ht="12.75">
      <c r="AA233" s="48" t="s">
        <v>154</v>
      </c>
      <c r="AB233" s="48">
        <f>IF(_Cac*10^6&gt;(LARGE(B101:B148,MAX(COUNTIF(B101:B148,"&gt;="&amp;_Cac*10^6),1))+SMALL(B101:B148,MAX(COUNTIF(B101:B148,"&lt;"&amp;_Cac*10^6),1)))/2,LARGE(B101:B148,MAX(COUNTIF(B101:B148,"&gt;="&amp;_Cac*10^6),1)),SMALL(B101:B148,MAX(COUNTIF(B101:B148,"&lt;"&amp;_Cac*10^6),1)))</f>
        <v>0.1</v>
      </c>
    </row>
    <row r="236" spans="27:28" ht="12.75">
      <c r="AA236" s="2" t="s">
        <v>155</v>
      </c>
      <c r="AB236" s="2">
        <f>2*(Ipeak_atVinmin-Iomax)/8/Fs_atVinmin/Cout</f>
        <v>0.005659166942453814</v>
      </c>
    </row>
    <row r="237" spans="27:28" ht="12.75">
      <c r="AA237" s="2" t="s">
        <v>156</v>
      </c>
      <c r="AB237" s="2">
        <f>2*(Ipeak_atVinmax-Iomax)/8/Fs_atVinmax/Cout</f>
        <v>0.008100265796002207</v>
      </c>
    </row>
    <row r="238" spans="27:28" ht="12.75">
      <c r="AA238" s="2" t="s">
        <v>157</v>
      </c>
      <c r="AB238" s="2">
        <f>2*(Ipeak_atVinmin-Iomax)*RESR</f>
        <v>0</v>
      </c>
    </row>
    <row r="239" spans="27:28" ht="12.75">
      <c r="AA239" s="2" t="s">
        <v>158</v>
      </c>
      <c r="AB239" s="2">
        <f>2*(Ipeak_atVinmax-Iomax)*RESR</f>
        <v>0</v>
      </c>
    </row>
    <row r="240" spans="27:28" ht="12.75">
      <c r="AA240" s="37" t="s">
        <v>159</v>
      </c>
      <c r="AB240" s="37">
        <f>MAX(Voripplemin_Cout,Voripplemin_RESR)</f>
        <v>0.005659166942453814</v>
      </c>
    </row>
    <row r="241" spans="27:28" ht="12.75">
      <c r="AA241" s="37" t="s">
        <v>160</v>
      </c>
      <c r="AB241" s="37">
        <f>MAX(Voripplemax_Cout,Voripplemax_RESR)</f>
        <v>0.008100265796002207</v>
      </c>
    </row>
    <row r="247" spans="27:28" ht="12.75">
      <c r="AA247" s="39" t="s">
        <v>161</v>
      </c>
      <c r="AB247" s="39">
        <f>Qg_*10^-9</f>
        <v>7.700000000000001E-09</v>
      </c>
    </row>
    <row r="248" spans="27:28" ht="12.75">
      <c r="AA248" s="2" t="s">
        <v>162</v>
      </c>
      <c r="AB248" s="2">
        <f>MAX(Fs_atVinmin,Fs_atVinnom,Fs_atVinmax)</f>
        <v>199434.14798600203</v>
      </c>
    </row>
    <row r="249" spans="27:28" ht="12.75">
      <c r="AA249" s="2" t="s">
        <v>163</v>
      </c>
      <c r="AB249" s="2">
        <f>Qg*Fsmax</f>
        <v>0.0015356429394922158</v>
      </c>
    </row>
    <row r="250" spans="27:28" ht="12.75">
      <c r="AA250" s="2" t="s">
        <v>164</v>
      </c>
      <c r="AB250" s="2">
        <f>IF(Icc&gt;Iccmin,1,0)</f>
        <v>0</v>
      </c>
    </row>
    <row r="251" spans="27:28" ht="12.75">
      <c r="AA251" s="37" t="s">
        <v>165</v>
      </c>
      <c r="AB251" s="37">
        <f>Vinmax*((Qg*Fs_atVinmax)+Ivin)</f>
        <v>0.06465745157503255</v>
      </c>
    </row>
    <row r="252" spans="27:28" ht="12.75">
      <c r="AA252" s="37" t="s">
        <v>166</v>
      </c>
      <c r="AB252" s="37">
        <f>Pdic*Rthja_MSOP8</f>
        <v>8.146838898454101</v>
      </c>
    </row>
    <row r="253" spans="27:28" ht="12.75">
      <c r="AA253" s="37" t="s">
        <v>167</v>
      </c>
      <c r="AB253" s="37">
        <f>Pdic*Rthja_MSOP8EP</f>
        <v>2.9742427724514977</v>
      </c>
    </row>
    <row r="254" spans="27:28" ht="12.75">
      <c r="AA254" s="37" t="s">
        <v>168</v>
      </c>
      <c r="AB254" s="37">
        <f>Pdic*Rthja_LLP8</f>
        <v>3.491502385051758</v>
      </c>
    </row>
    <row r="256" spans="27:28" ht="12.75">
      <c r="AA256" s="2" t="s">
        <v>169</v>
      </c>
      <c r="AB256" s="2">
        <f>Vf</f>
        <v>0.51</v>
      </c>
    </row>
    <row r="257" spans="27:28" ht="12.75">
      <c r="AA257" s="2" t="s">
        <v>170</v>
      </c>
      <c r="AB257" s="2">
        <f>1-Vout/Vinmax</f>
        <v>0.9583333333333334</v>
      </c>
    </row>
    <row r="258" spans="27:28" ht="12.75">
      <c r="AA258" s="2" t="s">
        <v>171</v>
      </c>
      <c r="AB258" s="2">
        <f>Iomax*SQRT(NDmax*(1+((Vinmax-Vout)*Ton_atVinmax/LM/Iomax)^2/3))</f>
        <v>2.9748340938283864</v>
      </c>
    </row>
    <row r="259" spans="27:28" ht="12.75">
      <c r="AA259" s="2" t="s">
        <v>172</v>
      </c>
      <c r="AB259" s="2">
        <f>Vf*D_Irms</f>
        <v>1.5171653878524771</v>
      </c>
    </row>
  </sheetData>
  <sheetProtection sheet="1" objects="1" scenarios="1" selectLockedCells="1"/>
  <protectedRanges>
    <protectedRange sqref="E37" name="Range2"/>
    <protectedRange sqref="E10:E15 E20 E22 E26:E28 E33 E38:E39 E42 E46 E48 E55 E57 E61 E64 E70 E77:E78" name="Range1"/>
    <protectedRange sqref="E52" name="Range3"/>
    <protectedRange sqref="E33" name="Range4"/>
  </protectedRanges>
  <mergeCells count="1">
    <mergeCell ref="A7:E7"/>
  </mergeCells>
  <conditionalFormatting sqref="E38:E40 E60:E65 E44">
    <cfRule type="cellIs" priority="1" dxfId="0" operator="equal" stopIfTrue="1">
      <formula>"NA"</formula>
    </cfRule>
  </conditionalFormatting>
  <dataValidations count="17">
    <dataValidation errorStyle="warning" type="decimal" operator="greaterThanOrEqual" allowBlank="1" showInputMessage="1" showErrorMessage="1" errorTitle="Radj" error="Radj should be greater than the recommened minimum value for Radj. A smaller value for Radj could result in a current limit value lower than the maximum load current." sqref="E42">
      <formula1>E41</formula1>
    </dataValidation>
    <dataValidation type="decimal" operator="lessThanOrEqual" allowBlank="1" showInputMessage="1" showErrorMessage="1" errorTitle="Fs" error="Switching frequency should be less than Maximum allowed frequency." sqref="E26">
      <formula1>E25</formula1>
    </dataValidation>
    <dataValidation type="decimal" allowBlank="1" showInputMessage="1" showErrorMessage="1" errorTitle="Vin(min)" error="Min Vin should be between 4.5V and Vin(nom)&#10;" sqref="E12">
      <formula1>4.5</formula1>
      <formula2>E11</formula2>
    </dataValidation>
    <dataValidation type="decimal" allowBlank="1" showInputMessage="1" showErrorMessage="1" errorTitle="R4" error="R4  should be between recommended value and maximum allowed value" sqref="E55">
      <formula1>E53</formula1>
      <formula2>E54</formula2>
    </dataValidation>
    <dataValidation errorStyle="warning" type="decimal" allowBlank="1" showInputMessage="1" showErrorMessage="1" errorTitle="Cout" error="Cout should be greater than the minimum recommended Cout. If the selected Cout is too large the softstart function may be ineffective." sqref="E57">
      <formula1>E56-1</formula1>
      <formula2>MaxCout*10^6</formula2>
    </dataValidation>
    <dataValidation type="decimal" operator="lessThanOrEqual" allowBlank="1" showInputMessage="1" showErrorMessage="1" errorTitle="Maximum Allowable Input Ripple" error="The ripple amplitude must not take Vin to less than 4.2V at its lower peak. " sqref="E46">
      <formula1>F46</formula1>
    </dataValidation>
    <dataValidation errorStyle="warning" type="decimal" operator="greaterThanOrEqual" allowBlank="1" showInputMessage="1" showErrorMessage="1" errorTitle="L1" error="L1 should be larger than minimum recommended value. A smaller inductor will produce higher ripple currents." sqref="E33">
      <formula1>E32</formula1>
    </dataValidation>
    <dataValidation type="decimal" operator="greaterThanOrEqual" allowBlank="1" showInputMessage="1" showErrorMessage="1" errorTitle="Cin" error="Cin should be greater than minimum required Cin" sqref="E48">
      <formula1>E47</formula1>
    </dataValidation>
    <dataValidation type="decimal" operator="lessThanOrEqual" allowBlank="1" showInputMessage="1" showErrorMessage="1" errorTitle="R3" error="The value for R3 should be smaller than the recommended value." sqref="E64">
      <formula1>E63</formula1>
    </dataValidation>
    <dataValidation type="decimal" operator="greaterThanOrEqual" allowBlank="1" showInputMessage="1" showErrorMessage="1" errorTitle="Cff" error="Cff should be greater than, or equal to, the minimum recommended value." sqref="E61">
      <formula1>E60</formula1>
    </dataValidation>
    <dataValidation type="decimal" allowBlank="1" showInputMessage="1" showErrorMessage="1" errorTitle="Rsen" error="The voltage across Rsen is smaller than 50mV or Power Loss is morethan 2W" sqref="E39">
      <formula1>MinRsen-1</formula1>
      <formula2>MaxRsen</formula2>
    </dataValidation>
    <dataValidation type="decimal" allowBlank="1" showInputMessage="1" showErrorMessage="1" errorTitle="Rfb2" error="Feedback resistors should be between 1kOhm and 20kOhm" sqref="E20">
      <formula1>1</formula1>
      <formula2>20</formula2>
    </dataValidation>
    <dataValidation type="decimal" allowBlank="1" showInputMessage="1" showErrorMessage="1" errorTitle="Vin(max)" error="Max Vin must be between 4.5V and 42V" sqref="E10">
      <formula1>4.5</formula1>
      <formula2>42</formula2>
    </dataValidation>
    <dataValidation type="decimal" allowBlank="1" showInputMessage="1" showErrorMessage="1" errorTitle="Vin(nom)" error="Nominal Vin should be between 4.5V and Vin(max)" sqref="E11">
      <formula1>4.5</formula1>
      <formula2>Vinmax_</formula2>
    </dataValidation>
    <dataValidation type="decimal" allowBlank="1" showInputMessage="1" showErrorMessage="1" errorTitle="Vout" error="The output voltage should be between 0.9V and Vin(min)" sqref="E13">
      <formula1>0.9</formula1>
      <formula2>Vinmin</formula2>
    </dataValidation>
    <dataValidation type="decimal" operator="lessThanOrEqual" allowBlank="1" showInputMessage="1" showErrorMessage="1" errorTitle="Iout" error="Output current over 10A is not recommened" sqref="E14">
      <formula1>10</formula1>
    </dataValidation>
    <dataValidation type="decimal" operator="lessThanOrEqual" allowBlank="1" showInputMessage="1" showErrorMessage="1" errorTitle="Io(min)" error="Min output current should be less than Io(max)" sqref="E15">
      <formula1>Iomax</formula1>
    </dataValidation>
  </dataValidations>
  <printOptions/>
  <pageMargins left="0.75" right="0.75" top="1" bottom="1" header="0.5" footer="0.5"/>
  <pageSetup fitToHeight="1" fitToWidth="1" horizontalDpi="600" verticalDpi="600" orientation="portrait" scale="56" r:id="rId10"/>
  <drawing r:id="rId9"/>
  <legacyDrawing r:id="rId8"/>
  <oleObjects>
    <oleObject progId="Visio.Drawing.11" shapeId="69904385" r:id="rId2"/>
    <oleObject progId="Visio.Drawing.11" shapeId="69905191" r:id="rId3"/>
    <oleObject progId="Visio.Drawing.11" shapeId="69906569" r:id="rId4"/>
    <oleObject progId="Visio.Drawing.6" shapeId="1474778" r:id="rId5"/>
    <oleObject progId="Visio.Drawing.6" shapeId="1623390" r:id="rId6"/>
    <oleObject progId="Visio.Drawing.6" shapeId="1628881" r:id="rId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LM5085 Quick Start</dc:title>
  <dc:subject/>
  <dc:creator>Eric Lee</dc:creator>
  <cp:keywords/>
  <dc:description>eric.lee@nsc.com</dc:description>
  <cp:lastModifiedBy>user</cp:lastModifiedBy>
  <cp:lastPrinted>2009-05-21T17:44:29Z</cp:lastPrinted>
  <dcterms:created xsi:type="dcterms:W3CDTF">2008-10-22T21:59:02Z</dcterms:created>
  <dcterms:modified xsi:type="dcterms:W3CDTF">2023-07-17T05:14:58Z</dcterms:modified>
  <cp:category/>
  <cp:version/>
  <cp:contentType/>
  <cp:contentStatus/>
</cp:coreProperties>
</file>